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4160" windowHeight="9120" activeTab="2"/>
  </bookViews>
  <sheets>
    <sheet name="cover" sheetId="1" r:id="rId1"/>
    <sheet name="TOC" sheetId="2" r:id="rId2"/>
    <sheet name="1" sheetId="3" r:id="rId3"/>
    <sheet name="2" sheetId="4" r:id="rId4"/>
    <sheet name="3" sheetId="5" r:id="rId5"/>
    <sheet name="4" sheetId="6" r:id="rId6"/>
    <sheet name="0" sheetId="7" r:id="rId7"/>
  </sheets>
  <definedNames>
    <definedName name="coname">'cover'!$T$63</definedName>
    <definedName name="cosymbol">'cover'!$A$63</definedName>
    <definedName name="date">'cover'!$B$48</definedName>
    <definedName name="docno">'cover'!$Q$1</definedName>
    <definedName name="_xlnm.Print_Area" localSheetId="6">'0'!$A$1:$AB$63</definedName>
    <definedName name="_xlnm.Print_Area" localSheetId="2">'1'!$A$1:$AB$63</definedName>
    <definedName name="_xlnm.Print_Area" localSheetId="3">'2'!$A$1:$AB$63</definedName>
    <definedName name="_xlnm.Print_Area" localSheetId="4">'3'!$A$1:$AB$63</definedName>
    <definedName name="_xlnm.Print_Area" localSheetId="5">'4'!$A$1:$AB$63</definedName>
    <definedName name="_xlnm.Print_Area" localSheetId="0">'cover'!$A$1:$T$63</definedName>
    <definedName name="_xlnm.Print_Area" localSheetId="1">'TOC'!$A$1:$AB$63</definedName>
    <definedName name="sheetqty">'1'!$AA$4</definedName>
    <definedName name="title">'cover'!$F$12</definedName>
    <definedName name="title2">'cover'!$F$10</definedName>
    <definedName name="toc1">'1'!$D$8</definedName>
    <definedName name="toc2">'2'!$D$8</definedName>
    <definedName name="toc3">'3'!$D$8</definedName>
    <definedName name="toc4">'4'!$D$8</definedName>
  </definedNames>
  <calcPr fullCalcOnLoad="1"/>
</workbook>
</file>

<file path=xl/comments3.xml><?xml version="1.0" encoding="utf-8"?>
<comments xmlns="http://schemas.openxmlformats.org/spreadsheetml/2006/main">
  <authors>
    <author>MASTER</author>
  </authors>
  <commentList>
    <comment ref="AD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4.xml><?xml version="1.0" encoding="utf-8"?>
<comments xmlns="http://schemas.openxmlformats.org/spreadsheetml/2006/main">
  <authors>
    <author>MASTER</author>
    <author>..</author>
  </authors>
  <commentList>
    <comment ref="AD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  <comment ref="AY46" authorId="1">
      <text>
        <r>
          <rPr>
            <b/>
            <sz val="8"/>
            <rFont val="Arial"/>
            <family val="2"/>
          </rPr>
          <t xml:space="preserve">2 ~ 5
</t>
        </r>
      </text>
    </comment>
  </commentList>
</comments>
</file>

<file path=xl/comments5.xml><?xml version="1.0" encoding="utf-8"?>
<comments xmlns="http://schemas.openxmlformats.org/spreadsheetml/2006/main">
  <authors>
    <author>MASTER</author>
    <author>..</author>
  </authors>
  <commentList>
    <comment ref="AD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  <comment ref="AY46" authorId="1">
      <text>
        <r>
          <rPr>
            <b/>
            <sz val="8"/>
            <rFont val="Arial"/>
            <family val="2"/>
          </rPr>
          <t xml:space="preserve">2 ~ 5
</t>
        </r>
      </text>
    </comment>
    <comment ref="AY84" authorId="1">
      <text>
        <r>
          <rPr>
            <b/>
            <sz val="8"/>
            <rFont val="Arial"/>
            <family val="2"/>
          </rPr>
          <t xml:space="preserve">2 ~ 5
</t>
        </r>
      </text>
    </comment>
  </commentList>
</comments>
</file>

<file path=xl/comments6.xml><?xml version="1.0" encoding="utf-8"?>
<comments xmlns="http://schemas.openxmlformats.org/spreadsheetml/2006/main">
  <authors>
    <author>MASTER</author>
    <author>..</author>
  </authors>
  <commentList>
    <comment ref="AD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  <comment ref="AY46" authorId="1">
      <text>
        <r>
          <rPr>
            <b/>
            <sz val="8"/>
            <rFont val="Arial"/>
            <family val="2"/>
          </rPr>
          <t xml:space="preserve">2 ~ 5
</t>
        </r>
      </text>
    </comment>
  </commentList>
</comments>
</file>

<file path=xl/comments7.xml><?xml version="1.0" encoding="utf-8"?>
<comments xmlns="http://schemas.openxmlformats.org/spreadsheetml/2006/main">
  <authors>
    <author>MASTER</author>
  </authors>
  <commentList>
    <comment ref="AD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sharedStrings.xml><?xml version="1.0" encoding="utf-8"?>
<sst xmlns="http://schemas.openxmlformats.org/spreadsheetml/2006/main" count="731" uniqueCount="264">
  <si>
    <t>LSJ</t>
  </si>
  <si>
    <t>Rev.</t>
  </si>
  <si>
    <t>Date</t>
  </si>
  <si>
    <t>Description</t>
  </si>
  <si>
    <t>Prepared</t>
  </si>
  <si>
    <t>Reviewed</t>
  </si>
  <si>
    <t>Approved</t>
  </si>
  <si>
    <t>Lee</t>
  </si>
  <si>
    <t>www.ntes.co.kr</t>
  </si>
  <si>
    <t>ntes@ntes.co.kr</t>
  </si>
  <si>
    <t xml:space="preserve"> NTES</t>
  </si>
  <si>
    <t>S. J. Lee</t>
  </si>
  <si>
    <t>Homepage</t>
  </si>
  <si>
    <t>E-mail</t>
  </si>
  <si>
    <t xml:space="preserve">Narai Thermal engineering Services </t>
  </si>
  <si>
    <t>Doc. No.</t>
  </si>
  <si>
    <t>Narai  Thermal  Engineering  Services ( NTES )</t>
  </si>
  <si>
    <t xml:space="preserve"> Doc. No.</t>
  </si>
  <si>
    <t xml:space="preserve"> Date</t>
  </si>
  <si>
    <t xml:space="preserve"> Rev.</t>
  </si>
  <si>
    <t xml:space="preserve"> Sheet No.</t>
  </si>
  <si>
    <t>of</t>
  </si>
  <si>
    <t>T a b l e     of     C o n t e n t s</t>
  </si>
  <si>
    <t>1.</t>
  </si>
  <si>
    <t>2.</t>
  </si>
  <si>
    <t>3.</t>
  </si>
  <si>
    <t>4.</t>
  </si>
  <si>
    <t>Aaaaaa</t>
  </si>
  <si>
    <t>0.</t>
  </si>
  <si>
    <t>2011.    1.    5.</t>
  </si>
  <si>
    <t>TG - WSP - 100</t>
  </si>
  <si>
    <t>Technical Guide</t>
  </si>
  <si>
    <t>White Smoke Prevention</t>
  </si>
  <si>
    <t>나 래 열 기 술</t>
  </si>
  <si>
    <t>Total</t>
  </si>
  <si>
    <t>sheets with a cover</t>
  </si>
  <si>
    <t>Psychrometric Process</t>
  </si>
  <si>
    <t>2016.    3.    1.</t>
  </si>
  <si>
    <t xml:space="preserve"> Doc. No.</t>
  </si>
  <si>
    <t xml:space="preserve"> Date</t>
  </si>
  <si>
    <t xml:space="preserve"> Rev.</t>
  </si>
  <si>
    <t xml:space="preserve"> Sheet No.</t>
  </si>
  <si>
    <t>of</t>
  </si>
  <si>
    <t>4.</t>
  </si>
  <si>
    <t>Dehumidifying Method</t>
  </si>
  <si>
    <t>Dry Bulb Temperature</t>
  </si>
  <si>
    <t>Saturation Line</t>
  </si>
  <si>
    <t>ma</t>
  </si>
  <si>
    <t>h1</t>
  </si>
  <si>
    <t>W1</t>
  </si>
  <si>
    <t>T1</t>
  </si>
  <si>
    <t>h2</t>
  </si>
  <si>
    <t>W2</t>
  </si>
  <si>
    <t>T2</t>
  </si>
  <si>
    <t>ma3</t>
  </si>
  <si>
    <t>h3</t>
  </si>
  <si>
    <t>W3</t>
  </si>
  <si>
    <t>T3</t>
  </si>
  <si>
    <t>mw</t>
  </si>
  <si>
    <t>hw</t>
  </si>
  <si>
    <t xml:space="preserve"> Humidity Ratio</t>
  </si>
  <si>
    <t>Reheating Method</t>
  </si>
  <si>
    <t>Dilution Method</t>
  </si>
  <si>
    <t>State of Ambient Air</t>
  </si>
  <si>
    <t>(</t>
  </si>
  <si>
    <t>)</t>
  </si>
  <si>
    <t>White Smoke</t>
  </si>
  <si>
    <t>Psychrometric Chart</t>
  </si>
  <si>
    <t>Prevention</t>
  </si>
  <si>
    <t>Process</t>
  </si>
  <si>
    <t>Gas Mixture</t>
  </si>
  <si>
    <t>Gas Mixture</t>
  </si>
  <si>
    <t>Inlet</t>
  </si>
  <si>
    <t>Outlet</t>
  </si>
  <si>
    <t>Input</t>
  </si>
  <si>
    <t>volume%</t>
  </si>
  <si>
    <t>H2O</t>
  </si>
  <si>
    <t>CO2</t>
  </si>
  <si>
    <t>N2</t>
  </si>
  <si>
    <t>O2</t>
  </si>
  <si>
    <t>SO2</t>
  </si>
  <si>
    <t/>
  </si>
  <si>
    <t>℃</t>
  </si>
  <si>
    <t>kg/cm2.g</t>
  </si>
  <si>
    <t>Gauge</t>
  </si>
  <si>
    <t>kg/h</t>
  </si>
  <si>
    <t>Yes</t>
  </si>
  <si>
    <t>volume%</t>
  </si>
  <si>
    <t>weight%</t>
  </si>
  <si>
    <t>Total</t>
  </si>
  <si>
    <t>Total</t>
  </si>
  <si>
    <t>M. Weight</t>
  </si>
  <si>
    <t>Density</t>
  </si>
  <si>
    <t>kg/Nm3</t>
  </si>
  <si>
    <t>* SO2 -&gt; SO3, %</t>
  </si>
  <si>
    <t>Dew Point</t>
  </si>
  <si>
    <t>Water</t>
  </si>
  <si>
    <t>℃</t>
  </si>
  <si>
    <t>Sulfuric</t>
  </si>
  <si>
    <t>Flowrate</t>
  </si>
  <si>
    <t>kg/h</t>
  </si>
  <si>
    <t>Moist Air</t>
  </si>
  <si>
    <r>
      <t>적</t>
    </r>
    <r>
      <rPr>
        <b/>
        <u val="single"/>
        <sz val="8"/>
        <color indexed="10"/>
        <rFont val="Arial"/>
        <family val="2"/>
      </rPr>
      <t xml:space="preserve"> </t>
    </r>
    <r>
      <rPr>
        <b/>
        <u val="single"/>
        <sz val="8"/>
        <color indexed="10"/>
        <rFont val="돋움"/>
        <family val="3"/>
      </rPr>
      <t>용</t>
    </r>
  </si>
  <si>
    <t>Temperature</t>
  </si>
  <si>
    <t>Pressure</t>
  </si>
  <si>
    <t>Relative Humidity</t>
  </si>
  <si>
    <t>%</t>
  </si>
  <si>
    <t>Dew Point</t>
  </si>
  <si>
    <t>℃</t>
  </si>
  <si>
    <t>Composition</t>
  </si>
  <si>
    <t>volume%</t>
  </si>
  <si>
    <t>weight%</t>
  </si>
  <si>
    <t>H2O</t>
  </si>
  <si>
    <t>N2</t>
  </si>
  <si>
    <t>O2</t>
  </si>
  <si>
    <t>Ar</t>
  </si>
  <si>
    <t>CO2</t>
  </si>
  <si>
    <t>Dry Air</t>
  </si>
  <si>
    <t>Condensate</t>
  </si>
  <si>
    <t>Used</t>
  </si>
  <si>
    <t>Vapor</t>
  </si>
  <si>
    <t>Liquid</t>
  </si>
  <si>
    <t>i / m / o</t>
  </si>
  <si>
    <t>kg/m3</t>
  </si>
  <si>
    <t>kg/Nm3</t>
  </si>
  <si>
    <t>m3/h</t>
  </si>
  <si>
    <t>kcal/kg</t>
  </si>
  <si>
    <r>
      <t>kcal/kg.</t>
    </r>
    <r>
      <rPr>
        <sz val="8"/>
        <rFont val="돋움"/>
        <family val="3"/>
      </rPr>
      <t>℃</t>
    </r>
  </si>
  <si>
    <t>kcal/h</t>
  </si>
  <si>
    <t>Density</t>
  </si>
  <si>
    <t>Fluid Name</t>
  </si>
  <si>
    <t>Fluid Type</t>
  </si>
  <si>
    <t>Flowrate, Total</t>
  </si>
  <si>
    <t>Temperature</t>
  </si>
  <si>
    <t>Press.</t>
  </si>
  <si>
    <t>Molecular Weight</t>
  </si>
  <si>
    <t>Enthalpy</t>
  </si>
  <si>
    <t>Specific Heat</t>
  </si>
  <si>
    <t>Heat Change</t>
  </si>
  <si>
    <r>
      <t>Condensate</t>
    </r>
  </si>
  <si>
    <r>
      <t>Δ</t>
    </r>
    <r>
      <rPr>
        <sz val="8"/>
        <rFont val="Arial"/>
        <family val="2"/>
      </rPr>
      <t>P / Outlet, Input /</t>
    </r>
    <r>
      <rPr>
        <b/>
        <sz val="8"/>
        <color indexed="10"/>
        <rFont val="Arial"/>
        <family val="2"/>
      </rPr>
      <t xml:space="preserve"> Gauge</t>
    </r>
  </si>
  <si>
    <r>
      <t xml:space="preserve">Input / </t>
    </r>
    <r>
      <rPr>
        <b/>
        <sz val="8"/>
        <color indexed="10"/>
        <rFont val="Arial"/>
        <family val="2"/>
      </rPr>
      <t>Gauge</t>
    </r>
  </si>
  <si>
    <t>mmH2O</t>
  </si>
  <si>
    <t>Flue Gas</t>
  </si>
  <si>
    <t>Mean</t>
  </si>
  <si>
    <t>=</t>
  </si>
  <si>
    <t>Q</t>
  </si>
  <si>
    <t>Heater</t>
  </si>
  <si>
    <t>Process</t>
  </si>
  <si>
    <t>Heat and Mass Balance</t>
  </si>
  <si>
    <t>(</t>
  </si>
  <si>
    <t>)</t>
  </si>
  <si>
    <t>-</t>
  </si>
  <si>
    <t>m3/h</t>
  </si>
  <si>
    <t>P S Y C H R O M E T R I C S</t>
  </si>
  <si>
    <t>xw</t>
  </si>
  <si>
    <t>W</t>
  </si>
  <si>
    <t>ha</t>
  </si>
  <si>
    <t>H2O wt Fraction</t>
  </si>
  <si>
    <t>kg/kg.dry gas</t>
  </si>
  <si>
    <t>kcal/kg.dry gas</t>
  </si>
  <si>
    <t>kg.dry gas/h</t>
  </si>
  <si>
    <t>Enthalpy</t>
  </si>
  <si>
    <t>Flowrate</t>
  </si>
  <si>
    <t>Outlet</t>
  </si>
  <si>
    <t>ma</t>
  </si>
  <si>
    <t>Pressure</t>
  </si>
  <si>
    <t>/</t>
  </si>
  <si>
    <t>Inlet</t>
  </si>
  <si>
    <t>does not cross the saturation line.</t>
  </si>
  <si>
    <t>Heat Load</t>
  </si>
  <si>
    <t>State of Most Gas discharged to a stack</t>
  </si>
  <si>
    <t>Cooler</t>
  </si>
  <si>
    <t>Moist gas is cooled below the dew point so that moisture is condensed and removed.</t>
  </si>
  <si>
    <t>Q</t>
  </si>
  <si>
    <t xml:space="preserve">Moist gas is heated to a higher temperature so that the condition line </t>
  </si>
  <si>
    <t>The condition line</t>
  </si>
  <si>
    <t>shall not cross the saturation line.</t>
  </si>
  <si>
    <t xml:space="preserve"> W</t>
  </si>
  <si>
    <t>ma1</t>
  </si>
  <si>
    <t>ma2</t>
  </si>
  <si>
    <t>+</t>
  </si>
  <si>
    <t>=</t>
  </si>
  <si>
    <t>-&gt;</t>
  </si>
  <si>
    <t>-</t>
  </si>
  <si>
    <t>)</t>
  </si>
  <si>
    <t>(</t>
  </si>
  <si>
    <t>]</t>
  </si>
  <si>
    <t>[</t>
  </si>
  <si>
    <t>Density</t>
  </si>
  <si>
    <t>Specific Volume</t>
  </si>
  <si>
    <t>kg.dry gas/m3</t>
  </si>
  <si>
    <t>m3/kg.dry gas</t>
  </si>
  <si>
    <t>Volumetric</t>
  </si>
  <si>
    <t>Mixed Gas</t>
  </si>
  <si>
    <t>twbulb</t>
  </si>
  <si>
    <t>Inlet</t>
  </si>
  <si>
    <t>-&gt;</t>
  </si>
  <si>
    <t>Heat Capacity</t>
  </si>
  <si>
    <t>Heat Capacity</t>
  </si>
  <si>
    <t>Outlet</t>
  </si>
  <si>
    <t>Humidity Ratio</t>
  </si>
  <si>
    <t>xcond</t>
  </si>
  <si>
    <t>xw_sat</t>
  </si>
  <si>
    <t>w_sat</t>
  </si>
  <si>
    <t>/</t>
  </si>
  <si>
    <t>yw_cond</t>
  </si>
  <si>
    <t>xw_cond</t>
  </si>
  <si>
    <t>Nm3/h</t>
  </si>
  <si>
    <r>
      <t>Flowrate,</t>
    </r>
    <r>
      <rPr>
        <b/>
        <sz val="8"/>
        <color indexed="10"/>
        <rFont val="Arial"/>
        <family val="2"/>
      </rPr>
      <t xml:space="preserve"> excl. Condensate</t>
    </r>
  </si>
  <si>
    <t>hs / hw at Dew Point</t>
  </si>
  <si>
    <t>kcal/kg</t>
  </si>
  <si>
    <t>+</t>
  </si>
  <si>
    <t>)  (</t>
  </si>
  <si>
    <t>hs</t>
  </si>
  <si>
    <t>yw_sat</t>
  </si>
  <si>
    <t>yw_inet</t>
  </si>
  <si>
    <t>xw_inlet</t>
  </si>
  <si>
    <t>Ambient Air</t>
  </si>
  <si>
    <t xml:space="preserve">   Originally Prepared.</t>
  </si>
  <si>
    <t>2016.  3.  1.</t>
  </si>
  <si>
    <t xml:space="preserve">   Updated.</t>
  </si>
  <si>
    <t>2002.  4.  5.</t>
  </si>
  <si>
    <t>Relative Humidity</t>
  </si>
  <si>
    <t>%</t>
  </si>
  <si>
    <t>%</t>
  </si>
  <si>
    <t>%</t>
  </si>
  <si>
    <t>kJ/kg.dry gas</t>
  </si>
  <si>
    <t>Fog</t>
  </si>
  <si>
    <t>Fog Region</t>
  </si>
  <si>
    <t>State of Dilution Air</t>
  </si>
  <si>
    <t>↑</t>
  </si>
  <si>
    <t>Condition Line</t>
  </si>
  <si>
    <t>Dilution air is added to moist gas so that humidity ratio of the mixed gas is reduced.</t>
  </si>
  <si>
    <t>State</t>
  </si>
  <si>
    <t>is the point where the condition line</t>
  </si>
  <si>
    <t>crosses the saturation line.</t>
  </si>
  <si>
    <t>Actual process</t>
  </si>
  <si>
    <t>:</t>
  </si>
  <si>
    <t>is the point where state</t>
  </si>
  <si>
    <t>Cooling +Condensing</t>
  </si>
  <si>
    <t>Condensing</t>
  </si>
  <si>
    <t>changes and become a saturated.</t>
  </si>
  <si>
    <t>Ar</t>
  </si>
  <si>
    <t>No</t>
  </si>
  <si>
    <t>Td</t>
  </si>
  <si>
    <t>Ideal process</t>
  </si>
  <si>
    <t>Cooling</t>
  </si>
  <si>
    <t>Sample Calculation</t>
  </si>
  <si>
    <t>State</t>
  </si>
  <si>
    <t>Temp.</t>
  </si>
  <si>
    <t>RH</t>
  </si>
  <si>
    <t>%</t>
  </si>
  <si>
    <t>Ambient Air</t>
  </si>
  <si>
    <r>
      <t>접점</t>
    </r>
    <r>
      <rPr>
        <b/>
        <u val="single"/>
        <sz val="8"/>
        <rFont val="Arial"/>
        <family val="2"/>
      </rPr>
      <t xml:space="preserve"> 1</t>
    </r>
  </si>
  <si>
    <r>
      <t>접점</t>
    </r>
    <r>
      <rPr>
        <b/>
        <u val="single"/>
        <sz val="8"/>
        <rFont val="Arial"/>
        <family val="2"/>
      </rPr>
      <t xml:space="preserve"> 2</t>
    </r>
  </si>
  <si>
    <t>Fog is generated in case the straight line</t>
  </si>
  <si>
    <t>crosses the saturation line.</t>
  </si>
  <si>
    <t>The greater the area of intersection, the more intense the fog.</t>
  </si>
  <si>
    <t>Sample Calculation</t>
  </si>
  <si>
    <t>Sample Calculation</t>
  </si>
  <si>
    <t>:</t>
  </si>
  <si>
    <t>:</t>
  </si>
  <si>
    <t>:</t>
  </si>
</sst>
</file>

<file path=xl/styles.xml><?xml version="1.0" encoding="utf-8"?>
<styleSheet xmlns="http://schemas.openxmlformats.org/spreadsheetml/2006/main">
  <numFmts count="4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 &quot;\&quot;* #,##0_ ;_ &quot;\&quot;* \-#,##0_ ;_ &quot;\&quot;* &quot;-&quot;_ ;_ @_ "/>
    <numFmt numFmtId="184" formatCode="_ * #,##0_ ;_ * \-#,##0_ ;_ * &quot;-&quot;_ ;_ @_ "/>
    <numFmt numFmtId="185" formatCode="_ &quot;\&quot;* #,##0.00_ ;_ &quot;\&quot;* \-#,##0.00_ ;_ &quot;\&quot;* &quot;-&quot;??_ ;_ @_ "/>
    <numFmt numFmtId="186" formatCode="_ * #,##0.00_ ;_ * \-#,##0.00_ ;_ * &quot;-&quot;??_ ;_ @_ "/>
    <numFmt numFmtId="187" formatCode="&quot;\&quot;#,##0;&quot;\&quot;&quot;\&quot;&quot;\&quot;&quot;\&quot;&quot;\&quot;&quot;\&quot;&quot;\&quot;&quot;\&quot;\-#,##0"/>
    <numFmt numFmtId="188" formatCode="&quot;\&quot;#,##0.00;&quot;\&quot;&quot;\&quot;&quot;\&quot;&quot;\&quot;&quot;\&quot;&quot;\&quot;&quot;\&quot;&quot;\&quot;\-#,##0.00"/>
    <numFmt numFmtId="189" formatCode="[$-412]AM/PM\ h:mm:ss"/>
    <numFmt numFmtId="190" formatCode="mm&quot;월&quot;\ dd&quot;일&quot;"/>
    <numFmt numFmtId="191" formatCode="0_ "/>
    <numFmt numFmtId="192" formatCode="0.0"/>
    <numFmt numFmtId="193" formatCode="0.0000000"/>
    <numFmt numFmtId="194" formatCode="0.000000"/>
    <numFmt numFmtId="195" formatCode="0.00000"/>
    <numFmt numFmtId="196" formatCode="0.00000000"/>
    <numFmt numFmtId="197" formatCode="0.0000"/>
    <numFmt numFmtId="198" formatCode="0.000"/>
    <numFmt numFmtId="199" formatCode="#,##0_ "/>
    <numFmt numFmtId="200" formatCode="#,##0_);[Red]\(#,##0\)"/>
    <numFmt numFmtId="201" formatCode="#,##0.0_);[Red]\(#,##0.0\)"/>
    <numFmt numFmtId="202" formatCode="#,##0.0_ "/>
    <numFmt numFmtId="203" formatCode="0.0000000_ "/>
    <numFmt numFmtId="204" formatCode="0.000000_ "/>
    <numFmt numFmtId="205" formatCode="0.00000_ "/>
    <numFmt numFmtId="206" formatCode="0.0000_ "/>
    <numFmt numFmtId="207" formatCode="0.00000000_ "/>
    <numFmt numFmtId="208" formatCode="0.0_);[Red]\(0.0\)"/>
  </numFmts>
  <fonts count="31">
    <font>
      <sz val="11"/>
      <name val="돋움"/>
      <family val="3"/>
    </font>
    <font>
      <sz val="8"/>
      <name val="돋움"/>
      <family val="3"/>
    </font>
    <font>
      <b/>
      <sz val="12"/>
      <name val="Arial"/>
      <family val="2"/>
    </font>
    <font>
      <b/>
      <sz val="10"/>
      <name val="Arial"/>
      <family val="2"/>
    </font>
    <font>
      <sz val="12"/>
      <name val="뼻뮝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b/>
      <sz val="12"/>
      <color indexed="12"/>
      <name val="Arial"/>
      <family val="2"/>
    </font>
    <font>
      <b/>
      <sz val="14"/>
      <name val="궁서체"/>
      <family val="1"/>
    </font>
    <font>
      <b/>
      <sz val="11"/>
      <name val="Arial"/>
      <family val="2"/>
    </font>
    <font>
      <b/>
      <sz val="6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color indexed="12"/>
      <name val="돋움"/>
      <family val="3"/>
    </font>
    <font>
      <b/>
      <u val="single"/>
      <sz val="8"/>
      <color indexed="10"/>
      <name val="Arial"/>
      <family val="2"/>
    </font>
    <font>
      <b/>
      <u val="single"/>
      <sz val="8"/>
      <color indexed="10"/>
      <name val="돋움"/>
      <family val="3"/>
    </font>
    <font>
      <b/>
      <sz val="8"/>
      <color indexed="10"/>
      <name val="돋움"/>
      <family val="3"/>
    </font>
    <font>
      <b/>
      <sz val="6"/>
      <color indexed="10"/>
      <name val="Arial"/>
      <family val="2"/>
    </font>
    <font>
      <b/>
      <sz val="7"/>
      <color indexed="10"/>
      <name val="Arial"/>
      <family val="2"/>
    </font>
    <font>
      <b/>
      <sz val="8"/>
      <name val="돋움"/>
      <family val="3"/>
    </font>
    <font>
      <b/>
      <u val="single"/>
      <sz val="8"/>
      <name val="돋움"/>
      <family val="3"/>
    </font>
    <font>
      <b/>
      <sz val="7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24" applyFont="1" applyBorder="1" applyAlignment="1">
      <alignment/>
    </xf>
    <xf numFmtId="0" fontId="7" fillId="0" borderId="5" xfId="0" applyFont="1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7" xfId="0" applyFont="1" applyBorder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 horizontal="right"/>
    </xf>
    <xf numFmtId="49" fontId="10" fillId="0" borderId="0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18" fillId="0" borderId="17" xfId="0" applyFont="1" applyBorder="1" applyAlignment="1">
      <alignment/>
    </xf>
    <xf numFmtId="0" fontId="7" fillId="0" borderId="19" xfId="0" applyFont="1" applyBorder="1" applyAlignment="1">
      <alignment/>
    </xf>
    <xf numFmtId="177" fontId="19" fillId="0" borderId="3" xfId="0" applyNumberFormat="1" applyFont="1" applyBorder="1" applyAlignment="1">
      <alignment horizontal="right"/>
    </xf>
    <xf numFmtId="177" fontId="20" fillId="0" borderId="3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177" fontId="19" fillId="0" borderId="20" xfId="0" applyNumberFormat="1" applyFont="1" applyBorder="1" applyAlignment="1">
      <alignment horizontal="right"/>
    </xf>
    <xf numFmtId="177" fontId="19" fillId="0" borderId="19" xfId="0" applyNumberFormat="1" applyFont="1" applyBorder="1" applyAlignment="1">
      <alignment horizontal="right"/>
    </xf>
    <xf numFmtId="0" fontId="7" fillId="0" borderId="4" xfId="0" applyFont="1" applyBorder="1" applyAlignment="1">
      <alignment/>
    </xf>
    <xf numFmtId="177" fontId="19" fillId="0" borderId="4" xfId="0" applyNumberFormat="1" applyFont="1" applyBorder="1" applyAlignment="1">
      <alignment horizontal="right"/>
    </xf>
    <xf numFmtId="177" fontId="20" fillId="0" borderId="4" xfId="0" applyNumberFormat="1" applyFont="1" applyBorder="1" applyAlignment="1">
      <alignment horizontal="right"/>
    </xf>
    <xf numFmtId="177" fontId="19" fillId="0" borderId="11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177" fontId="19" fillId="0" borderId="13" xfId="0" applyNumberFormat="1" applyFont="1" applyBorder="1" applyAlignment="1">
      <alignment horizontal="right"/>
    </xf>
    <xf numFmtId="177" fontId="20" fillId="0" borderId="13" xfId="0" applyNumberFormat="1" applyFont="1" applyBorder="1" applyAlignment="1">
      <alignment horizontal="right"/>
    </xf>
    <xf numFmtId="177" fontId="19" fillId="0" borderId="22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0" fontId="7" fillId="0" borderId="17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3" xfId="0" applyNumberFormat="1" applyFont="1" applyBorder="1" applyAlignment="1">
      <alignment horizontal="right"/>
    </xf>
    <xf numFmtId="0" fontId="7" fillId="0" borderId="23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21" fillId="0" borderId="4" xfId="0" applyFont="1" applyBorder="1" applyAlignment="1">
      <alignment/>
    </xf>
    <xf numFmtId="0" fontId="22" fillId="0" borderId="4" xfId="0" applyFont="1" applyBorder="1" applyAlignment="1">
      <alignment/>
    </xf>
    <xf numFmtId="0" fontId="7" fillId="0" borderId="13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0" fontId="23" fillId="0" borderId="0" xfId="0" applyFont="1" applyAlignment="1">
      <alignment/>
    </xf>
    <xf numFmtId="0" fontId="9" fillId="0" borderId="13" xfId="0" applyFont="1" applyBorder="1" applyAlignment="1">
      <alignment/>
    </xf>
    <xf numFmtId="0" fontId="8" fillId="0" borderId="5" xfId="0" applyFont="1" applyBorder="1" applyAlignment="1">
      <alignment/>
    </xf>
    <xf numFmtId="0" fontId="25" fillId="0" borderId="13" xfId="0" applyFont="1" applyBorder="1" applyAlignment="1">
      <alignment/>
    </xf>
    <xf numFmtId="0" fontId="9" fillId="0" borderId="2" xfId="0" applyFont="1" applyBorder="1" applyAlignment="1">
      <alignment/>
    </xf>
    <xf numFmtId="0" fontId="17" fillId="0" borderId="17" xfId="0" applyFont="1" applyBorder="1" applyAlignment="1">
      <alignment horizontal="right"/>
    </xf>
    <xf numFmtId="0" fontId="17" fillId="0" borderId="17" xfId="0" applyFont="1" applyBorder="1" applyAlignment="1">
      <alignment/>
    </xf>
    <xf numFmtId="0" fontId="8" fillId="0" borderId="3" xfId="0" applyFont="1" applyBorder="1" applyAlignment="1">
      <alignment/>
    </xf>
    <xf numFmtId="176" fontId="7" fillId="0" borderId="3" xfId="0" applyNumberFormat="1" applyFont="1" applyBorder="1" applyAlignment="1">
      <alignment/>
    </xf>
    <xf numFmtId="176" fontId="7" fillId="0" borderId="4" xfId="0" applyNumberFormat="1" applyFont="1" applyBorder="1" applyAlignment="1">
      <alignment/>
    </xf>
    <xf numFmtId="0" fontId="8" fillId="0" borderId="13" xfId="0" applyFont="1" applyBorder="1" applyAlignment="1">
      <alignment/>
    </xf>
    <xf numFmtId="176" fontId="7" fillId="0" borderId="13" xfId="0" applyNumberFormat="1" applyFont="1" applyBorder="1" applyAlignment="1">
      <alignment/>
    </xf>
    <xf numFmtId="0" fontId="7" fillId="0" borderId="17" xfId="0" applyFont="1" applyBorder="1" applyAlignment="1">
      <alignment horizontal="right"/>
    </xf>
    <xf numFmtId="177" fontId="7" fillId="0" borderId="17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19" fillId="0" borderId="19" xfId="0" applyFont="1" applyBorder="1" applyAlignment="1">
      <alignment/>
    </xf>
    <xf numFmtId="0" fontId="1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4" xfId="0" applyBorder="1" applyAlignment="1">
      <alignment/>
    </xf>
    <xf numFmtId="0" fontId="7" fillId="0" borderId="16" xfId="0" applyFont="1" applyBorder="1" applyAlignment="1">
      <alignment/>
    </xf>
    <xf numFmtId="0" fontId="8" fillId="0" borderId="0" xfId="0" applyFont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9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77" fontId="21" fillId="0" borderId="3" xfId="0" applyNumberFormat="1" applyFont="1" applyBorder="1" applyAlignment="1">
      <alignment horizontal="right"/>
    </xf>
    <xf numFmtId="177" fontId="21" fillId="0" borderId="4" xfId="0" applyNumberFormat="1" applyFont="1" applyBorder="1" applyAlignment="1">
      <alignment horizontal="right"/>
    </xf>
    <xf numFmtId="177" fontId="21" fillId="0" borderId="13" xfId="0" applyNumberFormat="1" applyFont="1" applyBorder="1" applyAlignment="1">
      <alignment horizontal="right"/>
    </xf>
    <xf numFmtId="177" fontId="15" fillId="0" borderId="3" xfId="0" applyNumberFormat="1" applyFont="1" applyBorder="1" applyAlignment="1">
      <alignment horizontal="right"/>
    </xf>
    <xf numFmtId="177" fontId="15" fillId="0" borderId="4" xfId="0" applyNumberFormat="1" applyFont="1" applyBorder="1" applyAlignment="1">
      <alignment horizontal="right"/>
    </xf>
    <xf numFmtId="177" fontId="15" fillId="0" borderId="13" xfId="0" applyNumberFormat="1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19" fillId="0" borderId="3" xfId="0" applyNumberFormat="1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19" fillId="0" borderId="4" xfId="0" applyNumberFormat="1" applyFont="1" applyBorder="1" applyAlignment="1">
      <alignment horizontal="right"/>
    </xf>
    <xf numFmtId="0" fontId="16" fillId="0" borderId="4" xfId="0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202" fontId="7" fillId="0" borderId="13" xfId="0" applyNumberFormat="1" applyFont="1" applyBorder="1" applyAlignment="1">
      <alignment horizontal="center"/>
    </xf>
    <xf numFmtId="0" fontId="27" fillId="0" borderId="19" xfId="0" applyFont="1" applyBorder="1" applyAlignment="1">
      <alignment/>
    </xf>
    <xf numFmtId="177" fontId="20" fillId="2" borderId="3" xfId="0" applyNumberFormat="1" applyFont="1" applyFill="1" applyBorder="1" applyAlignment="1">
      <alignment horizontal="right"/>
    </xf>
    <xf numFmtId="177" fontId="20" fillId="2" borderId="4" xfId="0" applyNumberFormat="1" applyFont="1" applyFill="1" applyBorder="1" applyAlignment="1">
      <alignment horizontal="right"/>
    </xf>
    <xf numFmtId="177" fontId="20" fillId="2" borderId="13" xfId="0" applyNumberFormat="1" applyFont="1" applyFill="1" applyBorder="1" applyAlignment="1">
      <alignment horizontal="right"/>
    </xf>
    <xf numFmtId="0" fontId="17" fillId="0" borderId="13" xfId="0" applyFont="1" applyBorder="1" applyAlignment="1">
      <alignment/>
    </xf>
    <xf numFmtId="0" fontId="18" fillId="0" borderId="19" xfId="0" applyFont="1" applyBorder="1" applyAlignment="1">
      <alignment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9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19" fillId="0" borderId="3" xfId="0" applyNumberFormat="1" applyFont="1" applyBorder="1" applyAlignment="1">
      <alignment/>
    </xf>
    <xf numFmtId="0" fontId="19" fillId="0" borderId="4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0" fontId="7" fillId="0" borderId="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6" xfId="0" applyFont="1" applyBorder="1" applyAlignment="1">
      <alignment horizontal="center"/>
    </xf>
    <xf numFmtId="0" fontId="30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9" fillId="0" borderId="3" xfId="0" applyFont="1" applyBorder="1" applyAlignment="1">
      <alignment/>
    </xf>
    <xf numFmtId="0" fontId="27" fillId="0" borderId="3" xfId="0" applyFont="1" applyBorder="1" applyAlignment="1">
      <alignment/>
    </xf>
    <xf numFmtId="0" fontId="18" fillId="0" borderId="3" xfId="0" applyFont="1" applyBorder="1" applyAlignment="1">
      <alignment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77" fontId="7" fillId="0" borderId="4" xfId="0" applyNumberFormat="1" applyFont="1" applyBorder="1" applyAlignment="1">
      <alignment horizontal="center"/>
    </xf>
    <xf numFmtId="178" fontId="7" fillId="0" borderId="13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199" fontId="7" fillId="0" borderId="3" xfId="0" applyNumberFormat="1" applyFont="1" applyBorder="1" applyAlignment="1">
      <alignment horizontal="center"/>
    </xf>
    <xf numFmtId="206" fontId="7" fillId="0" borderId="19" xfId="0" applyNumberFormat="1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200" fontId="7" fillId="0" borderId="19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176" fontId="7" fillId="0" borderId="4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76" fontId="7" fillId="0" borderId="16" xfId="0" applyNumberFormat="1" applyFont="1" applyBorder="1" applyAlignment="1">
      <alignment horizontal="center"/>
    </xf>
    <xf numFmtId="178" fontId="7" fillId="0" borderId="3" xfId="0" applyNumberFormat="1" applyFont="1" applyBorder="1" applyAlignment="1">
      <alignment horizontal="center"/>
    </xf>
    <xf numFmtId="178" fontId="7" fillId="0" borderId="32" xfId="0" applyNumberFormat="1" applyFont="1" applyBorder="1" applyAlignment="1">
      <alignment horizontal="center"/>
    </xf>
    <xf numFmtId="199" fontId="8" fillId="0" borderId="4" xfId="0" applyNumberFormat="1" applyFont="1" applyBorder="1" applyAlignment="1">
      <alignment horizontal="center"/>
    </xf>
    <xf numFmtId="199" fontId="8" fillId="0" borderId="10" xfId="0" applyNumberFormat="1" applyFont="1" applyBorder="1" applyAlignment="1">
      <alignment horizontal="center"/>
    </xf>
    <xf numFmtId="199" fontId="7" fillId="0" borderId="4" xfId="0" applyNumberFormat="1" applyFont="1" applyBorder="1" applyAlignment="1">
      <alignment horizontal="center"/>
    </xf>
    <xf numFmtId="199" fontId="7" fillId="0" borderId="10" xfId="0" applyNumberFormat="1" applyFont="1" applyBorder="1" applyAlignment="1">
      <alignment horizontal="center"/>
    </xf>
    <xf numFmtId="178" fontId="7" fillId="0" borderId="4" xfId="0" applyNumberFormat="1" applyFont="1" applyBorder="1" applyAlignment="1">
      <alignment horizontal="center"/>
    </xf>
    <xf numFmtId="176" fontId="7" fillId="0" borderId="3" xfId="0" applyNumberFormat="1" applyFont="1" applyBorder="1" applyAlignment="1">
      <alignment horizontal="center"/>
    </xf>
    <xf numFmtId="200" fontId="9" fillId="0" borderId="16" xfId="0" applyNumberFormat="1" applyFont="1" applyBorder="1" applyAlignment="1">
      <alignment horizontal="center"/>
    </xf>
    <xf numFmtId="200" fontId="9" fillId="0" borderId="4" xfId="0" applyNumberFormat="1" applyFont="1" applyBorder="1" applyAlignment="1">
      <alignment horizontal="center"/>
    </xf>
    <xf numFmtId="199" fontId="7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00" fontId="7" fillId="0" borderId="4" xfId="0" applyNumberFormat="1" applyFont="1" applyBorder="1" applyAlignment="1">
      <alignment horizontal="center"/>
    </xf>
    <xf numFmtId="200" fontId="7" fillId="0" borderId="10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200" fontId="10" fillId="0" borderId="3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00" fontId="7" fillId="0" borderId="16" xfId="0" applyNumberFormat="1" applyFont="1" applyBorder="1" applyAlignment="1">
      <alignment horizontal="center"/>
    </xf>
    <xf numFmtId="199" fontId="8" fillId="0" borderId="13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8" fontId="7" fillId="0" borderId="16" xfId="0" applyNumberFormat="1" applyFont="1" applyBorder="1" applyAlignment="1">
      <alignment horizontal="center"/>
    </xf>
    <xf numFmtId="205" fontId="7" fillId="0" borderId="19" xfId="0" applyNumberFormat="1" applyFont="1" applyBorder="1" applyAlignment="1">
      <alignment horizontal="center"/>
    </xf>
    <xf numFmtId="205" fontId="7" fillId="0" borderId="39" xfId="0" applyNumberFormat="1" applyFont="1" applyBorder="1" applyAlignment="1">
      <alignment horizontal="center"/>
    </xf>
    <xf numFmtId="205" fontId="7" fillId="0" borderId="40" xfId="0" applyNumberFormat="1" applyFont="1" applyBorder="1" applyAlignment="1">
      <alignment horizontal="center"/>
    </xf>
    <xf numFmtId="205" fontId="7" fillId="0" borderId="4" xfId="0" applyNumberFormat="1" applyFont="1" applyBorder="1" applyAlignment="1">
      <alignment horizontal="center"/>
    </xf>
    <xf numFmtId="205" fontId="7" fillId="0" borderId="10" xfId="0" applyNumberFormat="1" applyFont="1" applyBorder="1" applyAlignment="1">
      <alignment horizontal="center"/>
    </xf>
    <xf numFmtId="205" fontId="7" fillId="0" borderId="16" xfId="0" applyNumberFormat="1" applyFont="1" applyBorder="1" applyAlignment="1">
      <alignment horizontal="center"/>
    </xf>
    <xf numFmtId="199" fontId="7" fillId="0" borderId="13" xfId="0" applyNumberFormat="1" applyFont="1" applyBorder="1" applyAlignment="1">
      <alignment horizontal="center"/>
    </xf>
    <xf numFmtId="202" fontId="7" fillId="0" borderId="13" xfId="0" applyNumberFormat="1" applyFont="1" applyBorder="1" applyAlignment="1">
      <alignment horizontal="center"/>
    </xf>
    <xf numFmtId="208" fontId="7" fillId="0" borderId="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19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00" fontId="27" fillId="0" borderId="0" xfId="0" applyNumberFormat="1" applyFont="1" applyAlignment="1">
      <alignment horizontal="center"/>
    </xf>
    <xf numFmtId="199" fontId="8" fillId="0" borderId="15" xfId="0" applyNumberFormat="1" applyFont="1" applyBorder="1" applyAlignment="1">
      <alignment horizontal="center"/>
    </xf>
    <xf numFmtId="177" fontId="9" fillId="0" borderId="4" xfId="0" applyNumberFormat="1" applyFont="1" applyBorder="1" applyAlignment="1">
      <alignment horizontal="center"/>
    </xf>
    <xf numFmtId="177" fontId="9" fillId="0" borderId="10" xfId="0" applyNumberFormat="1" applyFont="1" applyBorder="1" applyAlignment="1">
      <alignment horizontal="center"/>
    </xf>
    <xf numFmtId="177" fontId="10" fillId="0" borderId="16" xfId="0" applyNumberFormat="1" applyFont="1" applyBorder="1" applyAlignment="1">
      <alignment horizontal="center"/>
    </xf>
    <xf numFmtId="177" fontId="10" fillId="0" borderId="4" xfId="0" applyNumberFormat="1" applyFont="1" applyBorder="1" applyAlignment="1">
      <alignment horizontal="center"/>
    </xf>
    <xf numFmtId="200" fontId="9" fillId="0" borderId="3" xfId="0" applyNumberFormat="1" applyFont="1" applyBorder="1" applyAlignment="1">
      <alignment horizontal="center"/>
    </xf>
    <xf numFmtId="199" fontId="9" fillId="0" borderId="4" xfId="0" applyNumberFormat="1" applyFont="1" applyBorder="1" applyAlignment="1">
      <alignment horizontal="center"/>
    </xf>
    <xf numFmtId="199" fontId="9" fillId="0" borderId="10" xfId="0" applyNumberFormat="1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/>
    </xf>
    <xf numFmtId="206" fontId="7" fillId="0" borderId="4" xfId="0" applyNumberFormat="1" applyFont="1" applyBorder="1" applyAlignment="1">
      <alignment horizontal="center"/>
    </xf>
    <xf numFmtId="206" fontId="7" fillId="0" borderId="10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178" fontId="7" fillId="2" borderId="4" xfId="0" applyNumberFormat="1" applyFont="1" applyFill="1" applyBorder="1" applyAlignment="1">
      <alignment horizontal="center"/>
    </xf>
    <xf numFmtId="178" fontId="7" fillId="2" borderId="10" xfId="0" applyNumberFormat="1" applyFont="1" applyFill="1" applyBorder="1" applyAlignment="1">
      <alignment horizontal="center"/>
    </xf>
    <xf numFmtId="178" fontId="7" fillId="2" borderId="16" xfId="0" applyNumberFormat="1" applyFont="1" applyFill="1" applyBorder="1" applyAlignment="1">
      <alignment horizontal="center"/>
    </xf>
    <xf numFmtId="200" fontId="17" fillId="0" borderId="4" xfId="0" applyNumberFormat="1" applyFont="1" applyBorder="1" applyAlignment="1">
      <alignment horizontal="center"/>
    </xf>
    <xf numFmtId="200" fontId="17" fillId="0" borderId="10" xfId="0" applyNumberFormat="1" applyFont="1" applyBorder="1" applyAlignment="1">
      <alignment horizontal="center"/>
    </xf>
    <xf numFmtId="200" fontId="7" fillId="4" borderId="4" xfId="0" applyNumberFormat="1" applyFont="1" applyFill="1" applyBorder="1" applyAlignment="1">
      <alignment horizontal="center"/>
    </xf>
    <xf numFmtId="200" fontId="7" fillId="4" borderId="10" xfId="0" applyNumberFormat="1" applyFont="1" applyFill="1" applyBorder="1" applyAlignment="1">
      <alignment horizontal="center"/>
    </xf>
    <xf numFmtId="200" fontId="7" fillId="4" borderId="16" xfId="0" applyNumberFormat="1" applyFont="1" applyFill="1" applyBorder="1" applyAlignment="1">
      <alignment horizontal="center"/>
    </xf>
    <xf numFmtId="200" fontId="7" fillId="2" borderId="16" xfId="0" applyNumberFormat="1" applyFont="1" applyFill="1" applyBorder="1" applyAlignment="1">
      <alignment horizontal="center"/>
    </xf>
    <xf numFmtId="200" fontId="7" fillId="2" borderId="4" xfId="0" applyNumberFormat="1" applyFont="1" applyFill="1" applyBorder="1" applyAlignment="1">
      <alignment horizontal="center"/>
    </xf>
    <xf numFmtId="200" fontId="7" fillId="2" borderId="10" xfId="0" applyNumberFormat="1" applyFont="1" applyFill="1" applyBorder="1" applyAlignment="1">
      <alignment horizontal="center"/>
    </xf>
    <xf numFmtId="206" fontId="7" fillId="0" borderId="16" xfId="0" applyNumberFormat="1" applyFont="1" applyBorder="1" applyAlignment="1">
      <alignment horizontal="center"/>
    </xf>
  </cellXfs>
  <cellStyles count="11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085-LTR" xfId="20"/>
    <cellStyle name="콤마_1085-LTR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Relationship Id="rId3" Type="http://schemas.openxmlformats.org/officeDocument/2006/relationships/image" Target="../media/image44.emf" /><Relationship Id="rId4" Type="http://schemas.openxmlformats.org/officeDocument/2006/relationships/image" Target="../media/image22.emf" /><Relationship Id="rId5" Type="http://schemas.openxmlformats.org/officeDocument/2006/relationships/image" Target="../media/image29.emf" /><Relationship Id="rId6" Type="http://schemas.openxmlformats.org/officeDocument/2006/relationships/image" Target="../media/image17.emf" /><Relationship Id="rId7" Type="http://schemas.openxmlformats.org/officeDocument/2006/relationships/image" Target="../media/image9.emf" /><Relationship Id="rId8" Type="http://schemas.openxmlformats.org/officeDocument/2006/relationships/image" Target="../media/image16.emf" /><Relationship Id="rId9" Type="http://schemas.openxmlformats.org/officeDocument/2006/relationships/image" Target="../media/image12.emf" /><Relationship Id="rId10" Type="http://schemas.openxmlformats.org/officeDocument/2006/relationships/image" Target="../media/image42.emf" /><Relationship Id="rId11" Type="http://schemas.openxmlformats.org/officeDocument/2006/relationships/image" Target="../media/image41.emf" /><Relationship Id="rId12" Type="http://schemas.openxmlformats.org/officeDocument/2006/relationships/image" Target="../media/image40.emf" /><Relationship Id="rId13" Type="http://schemas.openxmlformats.org/officeDocument/2006/relationships/image" Target="../media/image1.emf" /><Relationship Id="rId14" Type="http://schemas.openxmlformats.org/officeDocument/2006/relationships/image" Target="../media/image4.emf" /><Relationship Id="rId15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39.emf" /><Relationship Id="rId4" Type="http://schemas.openxmlformats.org/officeDocument/2006/relationships/image" Target="../media/image38.emf" /><Relationship Id="rId5" Type="http://schemas.openxmlformats.org/officeDocument/2006/relationships/image" Target="../media/image37.emf" /><Relationship Id="rId6" Type="http://schemas.openxmlformats.org/officeDocument/2006/relationships/image" Target="../media/image35.emf" /><Relationship Id="rId7" Type="http://schemas.openxmlformats.org/officeDocument/2006/relationships/image" Target="../media/image34.emf" /><Relationship Id="rId8" Type="http://schemas.openxmlformats.org/officeDocument/2006/relationships/image" Target="../media/image33.emf" /><Relationship Id="rId9" Type="http://schemas.openxmlformats.org/officeDocument/2006/relationships/image" Target="../media/image12.emf" /><Relationship Id="rId10" Type="http://schemas.openxmlformats.org/officeDocument/2006/relationships/image" Target="../media/image11.emf" /><Relationship Id="rId11" Type="http://schemas.openxmlformats.org/officeDocument/2006/relationships/image" Target="../media/image32.emf" /><Relationship Id="rId12" Type="http://schemas.openxmlformats.org/officeDocument/2006/relationships/image" Target="../media/image43.emf" /><Relationship Id="rId13" Type="http://schemas.openxmlformats.org/officeDocument/2006/relationships/image" Target="../media/image26.emf" /><Relationship Id="rId14" Type="http://schemas.openxmlformats.org/officeDocument/2006/relationships/image" Target="../media/image23.emf" /><Relationship Id="rId15" Type="http://schemas.openxmlformats.org/officeDocument/2006/relationships/image" Target="../media/image21.emf" /><Relationship Id="rId16" Type="http://schemas.openxmlformats.org/officeDocument/2006/relationships/image" Target="../media/image2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8.emf" /><Relationship Id="rId3" Type="http://schemas.openxmlformats.org/officeDocument/2006/relationships/image" Target="../media/image36.emf" /><Relationship Id="rId4" Type="http://schemas.openxmlformats.org/officeDocument/2006/relationships/image" Target="../media/image10.emf" /><Relationship Id="rId5" Type="http://schemas.openxmlformats.org/officeDocument/2006/relationships/image" Target="../media/image31.emf" /><Relationship Id="rId6" Type="http://schemas.openxmlformats.org/officeDocument/2006/relationships/image" Target="../media/image30.emf" /><Relationship Id="rId7" Type="http://schemas.openxmlformats.org/officeDocument/2006/relationships/image" Target="../media/image45.emf" /><Relationship Id="rId8" Type="http://schemas.openxmlformats.org/officeDocument/2006/relationships/image" Target="../media/image13.emf" /><Relationship Id="rId9" Type="http://schemas.openxmlformats.org/officeDocument/2006/relationships/image" Target="../media/image14.emf" /><Relationship Id="rId10" Type="http://schemas.openxmlformats.org/officeDocument/2006/relationships/image" Target="../media/image12.emf" /><Relationship Id="rId11" Type="http://schemas.openxmlformats.org/officeDocument/2006/relationships/image" Target="../media/image2.emf" /><Relationship Id="rId12" Type="http://schemas.openxmlformats.org/officeDocument/2006/relationships/image" Target="../media/image8.emf" /><Relationship Id="rId13" Type="http://schemas.openxmlformats.org/officeDocument/2006/relationships/image" Target="../media/image7.emf" /><Relationship Id="rId14" Type="http://schemas.openxmlformats.org/officeDocument/2006/relationships/image" Target="../media/image15.emf" /><Relationship Id="rId15" Type="http://schemas.openxmlformats.org/officeDocument/2006/relationships/image" Target="../media/image24.emf" /><Relationship Id="rId16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</xdr:row>
      <xdr:rowOff>0</xdr:rowOff>
    </xdr:from>
    <xdr:to>
      <xdr:col>34</xdr:col>
      <xdr:colOff>0</xdr:colOff>
      <xdr:row>4</xdr:row>
      <xdr:rowOff>0</xdr:rowOff>
    </xdr:to>
    <xdr:sp>
      <xdr:nvSpPr>
        <xdr:cNvPr id="1" name="Rectangle 7"/>
        <xdr:cNvSpPr>
          <a:spLocks/>
        </xdr:cNvSpPr>
      </xdr:nvSpPr>
      <xdr:spPr>
        <a:xfrm>
          <a:off x="7381875" y="428625"/>
          <a:ext cx="714375" cy="1428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2" name="Line 9"/>
        <xdr:cNvSpPr>
          <a:spLocks/>
        </xdr:cNvSpPr>
      </xdr:nvSpPr>
      <xdr:spPr>
        <a:xfrm>
          <a:off x="952500" y="30003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3" name="Line 10"/>
        <xdr:cNvSpPr>
          <a:spLocks/>
        </xdr:cNvSpPr>
      </xdr:nvSpPr>
      <xdr:spPr>
        <a:xfrm flipV="1">
          <a:off x="952500" y="3286125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23</xdr:row>
      <xdr:rowOff>0</xdr:rowOff>
    </xdr:to>
    <xdr:sp>
      <xdr:nvSpPr>
        <xdr:cNvPr id="4" name="Line 11"/>
        <xdr:cNvSpPr>
          <a:spLocks/>
        </xdr:cNvSpPr>
      </xdr:nvSpPr>
      <xdr:spPr>
        <a:xfrm>
          <a:off x="4048125" y="157162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13</xdr:col>
      <xdr:colOff>0</xdr:colOff>
      <xdr:row>21</xdr:row>
      <xdr:rowOff>0</xdr:rowOff>
    </xdr:to>
    <xdr:sp>
      <xdr:nvSpPr>
        <xdr:cNvPr id="5" name="Arc 12"/>
        <xdr:cNvSpPr>
          <a:spLocks/>
        </xdr:cNvSpPr>
      </xdr:nvSpPr>
      <xdr:spPr>
        <a:xfrm rot="5400000">
          <a:off x="952500" y="1571625"/>
          <a:ext cx="2143125" cy="14287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6" name="Line 13"/>
        <xdr:cNvSpPr>
          <a:spLocks/>
        </xdr:cNvSpPr>
      </xdr:nvSpPr>
      <xdr:spPr>
        <a:xfrm>
          <a:off x="3095625" y="15716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15</xdr:col>
      <xdr:colOff>180975</xdr:colOff>
      <xdr:row>14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3333750" y="2000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180975</xdr:colOff>
      <xdr:row>14</xdr:row>
      <xdr:rowOff>0</xdr:rowOff>
    </xdr:from>
    <xdr:to>
      <xdr:col>14</xdr:col>
      <xdr:colOff>0</xdr:colOff>
      <xdr:row>17</xdr:row>
      <xdr:rowOff>95250</xdr:rowOff>
    </xdr:to>
    <xdr:sp>
      <xdr:nvSpPr>
        <xdr:cNvPr id="8" name="Line 16"/>
        <xdr:cNvSpPr>
          <a:spLocks/>
        </xdr:cNvSpPr>
      </xdr:nvSpPr>
      <xdr:spPr>
        <a:xfrm flipH="1">
          <a:off x="2562225" y="2000250"/>
          <a:ext cx="771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16</xdr:col>
      <xdr:colOff>0</xdr:colOff>
      <xdr:row>22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1428750" y="2000250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38100</xdr:colOff>
      <xdr:row>14</xdr:row>
      <xdr:rowOff>0</xdr:rowOff>
    </xdr:from>
    <xdr:to>
      <xdr:col>14</xdr:col>
      <xdr:colOff>0</xdr:colOff>
      <xdr:row>18</xdr:row>
      <xdr:rowOff>95250</xdr:rowOff>
    </xdr:to>
    <xdr:sp>
      <xdr:nvSpPr>
        <xdr:cNvPr id="10" name="Line 18"/>
        <xdr:cNvSpPr>
          <a:spLocks/>
        </xdr:cNvSpPr>
      </xdr:nvSpPr>
      <xdr:spPr>
        <a:xfrm flipH="1">
          <a:off x="2657475" y="2000250"/>
          <a:ext cx="676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11</xdr:col>
      <xdr:colOff>0</xdr:colOff>
      <xdr:row>22</xdr:row>
      <xdr:rowOff>0</xdr:rowOff>
    </xdr:to>
    <xdr:sp>
      <xdr:nvSpPr>
        <xdr:cNvPr id="11" name="Line 20"/>
        <xdr:cNvSpPr>
          <a:spLocks/>
        </xdr:cNvSpPr>
      </xdr:nvSpPr>
      <xdr:spPr>
        <a:xfrm flipH="1">
          <a:off x="1428750" y="2714625"/>
          <a:ext cx="11906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9</xdr:col>
      <xdr:colOff>47625</xdr:colOff>
      <xdr:row>22</xdr:row>
      <xdr:rowOff>0</xdr:rowOff>
    </xdr:to>
    <xdr:sp>
      <xdr:nvSpPr>
        <xdr:cNvPr id="12" name="Line 21"/>
        <xdr:cNvSpPr>
          <a:spLocks/>
        </xdr:cNvSpPr>
      </xdr:nvSpPr>
      <xdr:spPr>
        <a:xfrm flipH="1">
          <a:off x="1428750" y="31432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38100</xdr:rowOff>
    </xdr:from>
    <xdr:to>
      <xdr:col>10</xdr:col>
      <xdr:colOff>200025</xdr:colOff>
      <xdr:row>22</xdr:row>
      <xdr:rowOff>0</xdr:rowOff>
    </xdr:to>
    <xdr:sp>
      <xdr:nvSpPr>
        <xdr:cNvPr id="13" name="Line 22"/>
        <xdr:cNvSpPr>
          <a:spLocks/>
        </xdr:cNvSpPr>
      </xdr:nvSpPr>
      <xdr:spPr>
        <a:xfrm flipH="1">
          <a:off x="2190750" y="2752725"/>
          <a:ext cx="390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0</xdr:colOff>
      <xdr:row>22</xdr:row>
      <xdr:rowOff>0</xdr:rowOff>
    </xdr:to>
    <xdr:sp>
      <xdr:nvSpPr>
        <xdr:cNvPr id="14" name="Line 31"/>
        <xdr:cNvSpPr>
          <a:spLocks/>
        </xdr:cNvSpPr>
      </xdr:nvSpPr>
      <xdr:spPr>
        <a:xfrm flipH="1">
          <a:off x="1428750" y="2000250"/>
          <a:ext cx="19050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" name="Line 50"/>
        <xdr:cNvSpPr>
          <a:spLocks/>
        </xdr:cNvSpPr>
      </xdr:nvSpPr>
      <xdr:spPr>
        <a:xfrm>
          <a:off x="3810000" y="20002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123825</xdr:rowOff>
    </xdr:to>
    <xdr:sp>
      <xdr:nvSpPr>
        <xdr:cNvPr id="16" name="Line 52"/>
        <xdr:cNvSpPr>
          <a:spLocks/>
        </xdr:cNvSpPr>
      </xdr:nvSpPr>
      <xdr:spPr>
        <a:xfrm>
          <a:off x="1190625" y="28575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190500</xdr:colOff>
      <xdr:row>17</xdr:row>
      <xdr:rowOff>28575</xdr:rowOff>
    </xdr:from>
    <xdr:to>
      <xdr:col>10</xdr:col>
      <xdr:colOff>228600</xdr:colOff>
      <xdr:row>19</xdr:row>
      <xdr:rowOff>47625</xdr:rowOff>
    </xdr:to>
    <xdr:grpSp>
      <xdr:nvGrpSpPr>
        <xdr:cNvPr id="17" name="Group 98"/>
        <xdr:cNvGrpSpPr>
          <a:grpSpLocks/>
        </xdr:cNvGrpSpPr>
      </xdr:nvGrpSpPr>
      <xdr:grpSpPr>
        <a:xfrm>
          <a:off x="2095500" y="2457450"/>
          <a:ext cx="514350" cy="304800"/>
          <a:chOff x="245" y="288"/>
          <a:chExt cx="54" cy="32"/>
        </a:xfrm>
        <a:solidFill>
          <a:srgbClr val="FFFFFF"/>
        </a:solidFill>
      </xdr:grpSpPr>
      <xdr:sp>
        <xdr:nvSpPr>
          <xdr:cNvPr id="18" name="Line 90"/>
          <xdr:cNvSpPr>
            <a:spLocks/>
          </xdr:cNvSpPr>
        </xdr:nvSpPr>
        <xdr:spPr>
          <a:xfrm>
            <a:off x="279" y="298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Line 91"/>
          <xdr:cNvSpPr>
            <a:spLocks/>
          </xdr:cNvSpPr>
        </xdr:nvSpPr>
        <xdr:spPr>
          <a:xfrm>
            <a:off x="296" y="288"/>
            <a:ext cx="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" name="Line 92"/>
          <xdr:cNvSpPr>
            <a:spLocks/>
          </xdr:cNvSpPr>
        </xdr:nvSpPr>
        <xdr:spPr>
          <a:xfrm>
            <a:off x="288" y="292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Line 93"/>
          <xdr:cNvSpPr>
            <a:spLocks/>
          </xdr:cNvSpPr>
        </xdr:nvSpPr>
        <xdr:spPr>
          <a:xfrm>
            <a:off x="271" y="30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Line 94"/>
          <xdr:cNvSpPr>
            <a:spLocks/>
          </xdr:cNvSpPr>
        </xdr:nvSpPr>
        <xdr:spPr>
          <a:xfrm>
            <a:off x="263" y="308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3" name="Line 96"/>
          <xdr:cNvSpPr>
            <a:spLocks/>
          </xdr:cNvSpPr>
        </xdr:nvSpPr>
        <xdr:spPr>
          <a:xfrm>
            <a:off x="254" y="313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4" name="Line 97"/>
          <xdr:cNvSpPr>
            <a:spLocks/>
          </xdr:cNvSpPr>
        </xdr:nvSpPr>
        <xdr:spPr>
          <a:xfrm>
            <a:off x="245" y="318"/>
            <a:ext cx="4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2</xdr:row>
      <xdr:rowOff>38100</xdr:rowOff>
    </xdr:from>
    <xdr:to>
      <xdr:col>35</xdr:col>
      <xdr:colOff>0</xdr:colOff>
      <xdr:row>4</xdr:row>
      <xdr:rowOff>0</xdr:rowOff>
    </xdr:to>
    <xdr:sp>
      <xdr:nvSpPr>
        <xdr:cNvPr id="25" name="AutoShape 115"/>
        <xdr:cNvSpPr>
          <a:spLocks/>
        </xdr:cNvSpPr>
      </xdr:nvSpPr>
      <xdr:spPr>
        <a:xfrm>
          <a:off x="8096250" y="323850"/>
          <a:ext cx="2381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30</xdr:col>
      <xdr:colOff>66675</xdr:colOff>
      <xdr:row>14</xdr:row>
      <xdr:rowOff>19050</xdr:rowOff>
    </xdr:from>
    <xdr:to>
      <xdr:col>30</xdr:col>
      <xdr:colOff>180975</xdr:colOff>
      <xdr:row>14</xdr:row>
      <xdr:rowOff>123825</xdr:rowOff>
    </xdr:to>
    <xdr:sp>
      <xdr:nvSpPr>
        <xdr:cNvPr id="26" name="Oval 116"/>
        <xdr:cNvSpPr>
          <a:spLocks/>
        </xdr:cNvSpPr>
      </xdr:nvSpPr>
      <xdr:spPr>
        <a:xfrm>
          <a:off x="7210425" y="20193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30</xdr:col>
      <xdr:colOff>66675</xdr:colOff>
      <xdr:row>15</xdr:row>
      <xdr:rowOff>19050</xdr:rowOff>
    </xdr:from>
    <xdr:to>
      <xdr:col>30</xdr:col>
      <xdr:colOff>180975</xdr:colOff>
      <xdr:row>15</xdr:row>
      <xdr:rowOff>123825</xdr:rowOff>
    </xdr:to>
    <xdr:sp>
      <xdr:nvSpPr>
        <xdr:cNvPr id="27" name="Oval 117"/>
        <xdr:cNvSpPr>
          <a:spLocks/>
        </xdr:cNvSpPr>
      </xdr:nvSpPr>
      <xdr:spPr>
        <a:xfrm>
          <a:off x="7210425" y="216217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2</a:t>
          </a:r>
        </a:p>
      </xdr:txBody>
    </xdr:sp>
    <xdr:clientData/>
  </xdr:twoCellAnchor>
  <xdr:twoCellAnchor>
    <xdr:from>
      <xdr:col>30</xdr:col>
      <xdr:colOff>66675</xdr:colOff>
      <xdr:row>16</xdr:row>
      <xdr:rowOff>19050</xdr:rowOff>
    </xdr:from>
    <xdr:to>
      <xdr:col>30</xdr:col>
      <xdr:colOff>180975</xdr:colOff>
      <xdr:row>16</xdr:row>
      <xdr:rowOff>123825</xdr:rowOff>
    </xdr:to>
    <xdr:sp>
      <xdr:nvSpPr>
        <xdr:cNvPr id="28" name="Oval 118"/>
        <xdr:cNvSpPr>
          <a:spLocks/>
        </xdr:cNvSpPr>
      </xdr:nvSpPr>
      <xdr:spPr>
        <a:xfrm>
          <a:off x="7210425" y="23050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3</a:t>
          </a:r>
        </a:p>
      </xdr:txBody>
    </xdr:sp>
    <xdr:clientData/>
  </xdr:twoCellAnchor>
  <xdr:twoCellAnchor>
    <xdr:from>
      <xdr:col>30</xdr:col>
      <xdr:colOff>66675</xdr:colOff>
      <xdr:row>17</xdr:row>
      <xdr:rowOff>19050</xdr:rowOff>
    </xdr:from>
    <xdr:to>
      <xdr:col>30</xdr:col>
      <xdr:colOff>180975</xdr:colOff>
      <xdr:row>17</xdr:row>
      <xdr:rowOff>123825</xdr:rowOff>
    </xdr:to>
    <xdr:sp>
      <xdr:nvSpPr>
        <xdr:cNvPr id="29" name="Oval 119"/>
        <xdr:cNvSpPr>
          <a:spLocks/>
        </xdr:cNvSpPr>
      </xdr:nvSpPr>
      <xdr:spPr>
        <a:xfrm>
          <a:off x="7210425" y="244792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4</a:t>
          </a:r>
        </a:p>
      </xdr:txBody>
    </xdr:sp>
    <xdr:clientData/>
  </xdr:twoCellAnchor>
  <xdr:twoCellAnchor>
    <xdr:from>
      <xdr:col>30</xdr:col>
      <xdr:colOff>66675</xdr:colOff>
      <xdr:row>18</xdr:row>
      <xdr:rowOff>19050</xdr:rowOff>
    </xdr:from>
    <xdr:to>
      <xdr:col>30</xdr:col>
      <xdr:colOff>180975</xdr:colOff>
      <xdr:row>18</xdr:row>
      <xdr:rowOff>123825</xdr:rowOff>
    </xdr:to>
    <xdr:sp>
      <xdr:nvSpPr>
        <xdr:cNvPr id="30" name="Oval 120"/>
        <xdr:cNvSpPr>
          <a:spLocks/>
        </xdr:cNvSpPr>
      </xdr:nvSpPr>
      <xdr:spPr>
        <a:xfrm>
          <a:off x="7210425" y="25908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5</a:t>
          </a:r>
        </a:p>
      </xdr:txBody>
    </xdr:sp>
    <xdr:clientData/>
  </xdr:twoCellAnchor>
  <xdr:twoCellAnchor>
    <xdr:from>
      <xdr:col>13</xdr:col>
      <xdr:colOff>180975</xdr:colOff>
      <xdr:row>13</xdr:row>
      <xdr:rowOff>85725</xdr:rowOff>
    </xdr:from>
    <xdr:to>
      <xdr:col>14</xdr:col>
      <xdr:colOff>57150</xdr:colOff>
      <xdr:row>14</xdr:row>
      <xdr:rowOff>57150</xdr:rowOff>
    </xdr:to>
    <xdr:sp>
      <xdr:nvSpPr>
        <xdr:cNvPr id="31" name="Oval 121"/>
        <xdr:cNvSpPr>
          <a:spLocks/>
        </xdr:cNvSpPr>
      </xdr:nvSpPr>
      <xdr:spPr>
        <a:xfrm>
          <a:off x="3276600" y="19431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4</xdr:col>
      <xdr:colOff>66675</xdr:colOff>
      <xdr:row>25</xdr:row>
      <xdr:rowOff>19050</xdr:rowOff>
    </xdr:from>
    <xdr:to>
      <xdr:col>4</xdr:col>
      <xdr:colOff>180975</xdr:colOff>
      <xdr:row>25</xdr:row>
      <xdr:rowOff>123825</xdr:rowOff>
    </xdr:to>
    <xdr:sp>
      <xdr:nvSpPr>
        <xdr:cNvPr id="32" name="Oval 126"/>
        <xdr:cNvSpPr>
          <a:spLocks/>
        </xdr:cNvSpPr>
      </xdr:nvSpPr>
      <xdr:spPr>
        <a:xfrm>
          <a:off x="1019175" y="359092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4</xdr:col>
      <xdr:colOff>66675</xdr:colOff>
      <xdr:row>26</xdr:row>
      <xdr:rowOff>19050</xdr:rowOff>
    </xdr:from>
    <xdr:to>
      <xdr:col>4</xdr:col>
      <xdr:colOff>180975</xdr:colOff>
      <xdr:row>26</xdr:row>
      <xdr:rowOff>123825</xdr:rowOff>
    </xdr:to>
    <xdr:sp>
      <xdr:nvSpPr>
        <xdr:cNvPr id="33" name="Oval 127"/>
        <xdr:cNvSpPr>
          <a:spLocks/>
        </xdr:cNvSpPr>
      </xdr:nvSpPr>
      <xdr:spPr>
        <a:xfrm>
          <a:off x="1019175" y="37338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7</a:t>
          </a:r>
        </a:p>
      </xdr:txBody>
    </xdr:sp>
    <xdr:clientData/>
  </xdr:twoCellAnchor>
  <xdr:twoCellAnchor>
    <xdr:from>
      <xdr:col>15</xdr:col>
      <xdr:colOff>180975</xdr:colOff>
      <xdr:row>13</xdr:row>
      <xdr:rowOff>85725</xdr:rowOff>
    </xdr:from>
    <xdr:to>
      <xdr:col>16</xdr:col>
      <xdr:colOff>57150</xdr:colOff>
      <xdr:row>14</xdr:row>
      <xdr:rowOff>57150</xdr:rowOff>
    </xdr:to>
    <xdr:sp>
      <xdr:nvSpPr>
        <xdr:cNvPr id="34" name="Oval 128"/>
        <xdr:cNvSpPr>
          <a:spLocks/>
        </xdr:cNvSpPr>
      </xdr:nvSpPr>
      <xdr:spPr>
        <a:xfrm>
          <a:off x="3752850" y="19431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2</a:t>
          </a:r>
        </a:p>
      </xdr:txBody>
    </xdr:sp>
    <xdr:clientData/>
  </xdr:twoCellAnchor>
  <xdr:twoCellAnchor>
    <xdr:from>
      <xdr:col>10</xdr:col>
      <xdr:colOff>180975</xdr:colOff>
      <xdr:row>18</xdr:row>
      <xdr:rowOff>85725</xdr:rowOff>
    </xdr:from>
    <xdr:to>
      <xdr:col>11</xdr:col>
      <xdr:colOff>57150</xdr:colOff>
      <xdr:row>19</xdr:row>
      <xdr:rowOff>57150</xdr:rowOff>
    </xdr:to>
    <xdr:sp>
      <xdr:nvSpPr>
        <xdr:cNvPr id="35" name="Oval 129"/>
        <xdr:cNvSpPr>
          <a:spLocks/>
        </xdr:cNvSpPr>
      </xdr:nvSpPr>
      <xdr:spPr>
        <a:xfrm>
          <a:off x="2562225" y="26574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3</a:t>
          </a:r>
        </a:p>
      </xdr:txBody>
    </xdr:sp>
    <xdr:clientData/>
  </xdr:twoCellAnchor>
  <xdr:twoCellAnchor>
    <xdr:from>
      <xdr:col>7</xdr:col>
      <xdr:colOff>180975</xdr:colOff>
      <xdr:row>19</xdr:row>
      <xdr:rowOff>85725</xdr:rowOff>
    </xdr:from>
    <xdr:to>
      <xdr:col>8</xdr:col>
      <xdr:colOff>57150</xdr:colOff>
      <xdr:row>20</xdr:row>
      <xdr:rowOff>57150</xdr:rowOff>
    </xdr:to>
    <xdr:sp>
      <xdr:nvSpPr>
        <xdr:cNvPr id="36" name="Oval 130"/>
        <xdr:cNvSpPr>
          <a:spLocks/>
        </xdr:cNvSpPr>
      </xdr:nvSpPr>
      <xdr:spPr>
        <a:xfrm>
          <a:off x="1847850" y="28003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6</a:t>
          </a:r>
        </a:p>
      </xdr:txBody>
    </xdr:sp>
    <xdr:clientData/>
  </xdr:twoCellAnchor>
  <xdr:twoCellAnchor>
    <xdr:from>
      <xdr:col>5</xdr:col>
      <xdr:colOff>180975</xdr:colOff>
      <xdr:row>21</xdr:row>
      <xdr:rowOff>85725</xdr:rowOff>
    </xdr:from>
    <xdr:to>
      <xdr:col>6</xdr:col>
      <xdr:colOff>57150</xdr:colOff>
      <xdr:row>22</xdr:row>
      <xdr:rowOff>57150</xdr:rowOff>
    </xdr:to>
    <xdr:sp>
      <xdr:nvSpPr>
        <xdr:cNvPr id="37" name="Oval 131"/>
        <xdr:cNvSpPr>
          <a:spLocks/>
        </xdr:cNvSpPr>
      </xdr:nvSpPr>
      <xdr:spPr>
        <a:xfrm>
          <a:off x="1371600" y="30861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7</a:t>
          </a:r>
        </a:p>
      </xdr:txBody>
    </xdr:sp>
    <xdr:clientData/>
  </xdr:twoCellAnchor>
  <xdr:twoCellAnchor>
    <xdr:from>
      <xdr:col>7</xdr:col>
      <xdr:colOff>66675</xdr:colOff>
      <xdr:row>41</xdr:row>
      <xdr:rowOff>19050</xdr:rowOff>
    </xdr:from>
    <xdr:to>
      <xdr:col>7</xdr:col>
      <xdr:colOff>180975</xdr:colOff>
      <xdr:row>41</xdr:row>
      <xdr:rowOff>123825</xdr:rowOff>
    </xdr:to>
    <xdr:sp>
      <xdr:nvSpPr>
        <xdr:cNvPr id="38" name="Oval 132"/>
        <xdr:cNvSpPr>
          <a:spLocks/>
        </xdr:cNvSpPr>
      </xdr:nvSpPr>
      <xdr:spPr>
        <a:xfrm>
          <a:off x="1733550" y="587692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7</xdr:col>
      <xdr:colOff>66675</xdr:colOff>
      <xdr:row>46</xdr:row>
      <xdr:rowOff>19050</xdr:rowOff>
    </xdr:from>
    <xdr:to>
      <xdr:col>7</xdr:col>
      <xdr:colOff>180975</xdr:colOff>
      <xdr:row>46</xdr:row>
      <xdr:rowOff>123825</xdr:rowOff>
    </xdr:to>
    <xdr:sp>
      <xdr:nvSpPr>
        <xdr:cNvPr id="39" name="Oval 133"/>
        <xdr:cNvSpPr>
          <a:spLocks/>
        </xdr:cNvSpPr>
      </xdr:nvSpPr>
      <xdr:spPr>
        <a:xfrm>
          <a:off x="1733550" y="65913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7</xdr:col>
      <xdr:colOff>66675</xdr:colOff>
      <xdr:row>52</xdr:row>
      <xdr:rowOff>19050</xdr:rowOff>
    </xdr:from>
    <xdr:to>
      <xdr:col>7</xdr:col>
      <xdr:colOff>180975</xdr:colOff>
      <xdr:row>52</xdr:row>
      <xdr:rowOff>123825</xdr:rowOff>
    </xdr:to>
    <xdr:sp>
      <xdr:nvSpPr>
        <xdr:cNvPr id="40" name="Oval 134"/>
        <xdr:cNvSpPr>
          <a:spLocks/>
        </xdr:cNvSpPr>
      </xdr:nvSpPr>
      <xdr:spPr>
        <a:xfrm>
          <a:off x="1733550" y="74485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9</xdr:col>
      <xdr:colOff>66675</xdr:colOff>
      <xdr:row>41</xdr:row>
      <xdr:rowOff>19050</xdr:rowOff>
    </xdr:from>
    <xdr:to>
      <xdr:col>9</xdr:col>
      <xdr:colOff>180975</xdr:colOff>
      <xdr:row>41</xdr:row>
      <xdr:rowOff>123825</xdr:rowOff>
    </xdr:to>
    <xdr:sp>
      <xdr:nvSpPr>
        <xdr:cNvPr id="41" name="Oval 135"/>
        <xdr:cNvSpPr>
          <a:spLocks/>
        </xdr:cNvSpPr>
      </xdr:nvSpPr>
      <xdr:spPr>
        <a:xfrm>
          <a:off x="2209800" y="587692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2</a:t>
          </a:r>
        </a:p>
      </xdr:txBody>
    </xdr:sp>
    <xdr:clientData/>
  </xdr:twoCellAnchor>
  <xdr:twoCellAnchor>
    <xdr:from>
      <xdr:col>9</xdr:col>
      <xdr:colOff>66675</xdr:colOff>
      <xdr:row>46</xdr:row>
      <xdr:rowOff>19050</xdr:rowOff>
    </xdr:from>
    <xdr:to>
      <xdr:col>9</xdr:col>
      <xdr:colOff>180975</xdr:colOff>
      <xdr:row>46</xdr:row>
      <xdr:rowOff>123825</xdr:rowOff>
    </xdr:to>
    <xdr:sp>
      <xdr:nvSpPr>
        <xdr:cNvPr id="42" name="Oval 136"/>
        <xdr:cNvSpPr>
          <a:spLocks/>
        </xdr:cNvSpPr>
      </xdr:nvSpPr>
      <xdr:spPr>
        <a:xfrm>
          <a:off x="2209800" y="65913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3</a:t>
          </a:r>
        </a:p>
      </xdr:txBody>
    </xdr:sp>
    <xdr:clientData/>
  </xdr:twoCellAnchor>
  <xdr:twoCellAnchor>
    <xdr:from>
      <xdr:col>9</xdr:col>
      <xdr:colOff>66675</xdr:colOff>
      <xdr:row>52</xdr:row>
      <xdr:rowOff>19050</xdr:rowOff>
    </xdr:from>
    <xdr:to>
      <xdr:col>9</xdr:col>
      <xdr:colOff>180975</xdr:colOff>
      <xdr:row>52</xdr:row>
      <xdr:rowOff>123825</xdr:rowOff>
    </xdr:to>
    <xdr:sp>
      <xdr:nvSpPr>
        <xdr:cNvPr id="43" name="Oval 137"/>
        <xdr:cNvSpPr>
          <a:spLocks/>
        </xdr:cNvSpPr>
      </xdr:nvSpPr>
      <xdr:spPr>
        <a:xfrm>
          <a:off x="2209800" y="74485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5</a:t>
          </a:r>
        </a:p>
      </xdr:txBody>
    </xdr:sp>
    <xdr:clientData/>
  </xdr:twoCellAnchor>
  <xdr:twoCellAnchor>
    <xdr:from>
      <xdr:col>8</xdr:col>
      <xdr:colOff>47625</xdr:colOff>
      <xdr:row>41</xdr:row>
      <xdr:rowOff>76200</xdr:rowOff>
    </xdr:from>
    <xdr:to>
      <xdr:col>8</xdr:col>
      <xdr:colOff>190500</xdr:colOff>
      <xdr:row>41</xdr:row>
      <xdr:rowOff>76200</xdr:rowOff>
    </xdr:to>
    <xdr:sp>
      <xdr:nvSpPr>
        <xdr:cNvPr id="44" name="Line 138"/>
        <xdr:cNvSpPr>
          <a:spLocks/>
        </xdr:cNvSpPr>
      </xdr:nvSpPr>
      <xdr:spPr>
        <a:xfrm>
          <a:off x="1952625" y="5934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76200</xdr:rowOff>
    </xdr:from>
    <xdr:to>
      <xdr:col>8</xdr:col>
      <xdr:colOff>190500</xdr:colOff>
      <xdr:row>46</xdr:row>
      <xdr:rowOff>76200</xdr:rowOff>
    </xdr:to>
    <xdr:sp>
      <xdr:nvSpPr>
        <xdr:cNvPr id="45" name="Line 140"/>
        <xdr:cNvSpPr>
          <a:spLocks/>
        </xdr:cNvSpPr>
      </xdr:nvSpPr>
      <xdr:spPr>
        <a:xfrm>
          <a:off x="1952625" y="6648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76200</xdr:rowOff>
    </xdr:from>
    <xdr:to>
      <xdr:col>8</xdr:col>
      <xdr:colOff>190500</xdr:colOff>
      <xdr:row>52</xdr:row>
      <xdr:rowOff>76200</xdr:rowOff>
    </xdr:to>
    <xdr:sp>
      <xdr:nvSpPr>
        <xdr:cNvPr id="46" name="Line 141"/>
        <xdr:cNvSpPr>
          <a:spLocks/>
        </xdr:cNvSpPr>
      </xdr:nvSpPr>
      <xdr:spPr>
        <a:xfrm>
          <a:off x="1952625" y="7505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161925</xdr:colOff>
      <xdr:row>18</xdr:row>
      <xdr:rowOff>47625</xdr:rowOff>
    </xdr:to>
    <xdr:sp>
      <xdr:nvSpPr>
        <xdr:cNvPr id="47" name="Line 142"/>
        <xdr:cNvSpPr>
          <a:spLocks/>
        </xdr:cNvSpPr>
      </xdr:nvSpPr>
      <xdr:spPr>
        <a:xfrm>
          <a:off x="2143125" y="2428875"/>
          <a:ext cx="161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30</xdr:col>
      <xdr:colOff>66675</xdr:colOff>
      <xdr:row>19</xdr:row>
      <xdr:rowOff>19050</xdr:rowOff>
    </xdr:from>
    <xdr:to>
      <xdr:col>30</xdr:col>
      <xdr:colOff>180975</xdr:colOff>
      <xdr:row>19</xdr:row>
      <xdr:rowOff>123825</xdr:rowOff>
    </xdr:to>
    <xdr:sp>
      <xdr:nvSpPr>
        <xdr:cNvPr id="48" name="Oval 143"/>
        <xdr:cNvSpPr>
          <a:spLocks/>
        </xdr:cNvSpPr>
      </xdr:nvSpPr>
      <xdr:spPr>
        <a:xfrm>
          <a:off x="7210425" y="273367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6</a:t>
          </a:r>
        </a:p>
      </xdr:txBody>
    </xdr:sp>
    <xdr:clientData/>
  </xdr:twoCellAnchor>
  <xdr:twoCellAnchor>
    <xdr:from>
      <xdr:col>8</xdr:col>
      <xdr:colOff>228600</xdr:colOff>
      <xdr:row>21</xdr:row>
      <xdr:rowOff>76200</xdr:rowOff>
    </xdr:from>
    <xdr:to>
      <xdr:col>9</xdr:col>
      <xdr:colOff>104775</xdr:colOff>
      <xdr:row>22</xdr:row>
      <xdr:rowOff>47625</xdr:rowOff>
    </xdr:to>
    <xdr:sp>
      <xdr:nvSpPr>
        <xdr:cNvPr id="49" name="Oval 144"/>
        <xdr:cNvSpPr>
          <a:spLocks/>
        </xdr:cNvSpPr>
      </xdr:nvSpPr>
      <xdr:spPr>
        <a:xfrm>
          <a:off x="2133600" y="30765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4</a:t>
          </a:r>
        </a:p>
      </xdr:txBody>
    </xdr:sp>
    <xdr:clientData/>
  </xdr:twoCellAnchor>
  <xdr:twoCellAnchor>
    <xdr:from>
      <xdr:col>4</xdr:col>
      <xdr:colOff>66675</xdr:colOff>
      <xdr:row>27</xdr:row>
      <xdr:rowOff>19050</xdr:rowOff>
    </xdr:from>
    <xdr:to>
      <xdr:col>4</xdr:col>
      <xdr:colOff>180975</xdr:colOff>
      <xdr:row>27</xdr:row>
      <xdr:rowOff>123825</xdr:rowOff>
    </xdr:to>
    <xdr:sp>
      <xdr:nvSpPr>
        <xdr:cNvPr id="50" name="Oval 145"/>
        <xdr:cNvSpPr>
          <a:spLocks/>
        </xdr:cNvSpPr>
      </xdr:nvSpPr>
      <xdr:spPr>
        <a:xfrm>
          <a:off x="1019175" y="387667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4</a:t>
          </a:r>
        </a:p>
      </xdr:txBody>
    </xdr:sp>
    <xdr:clientData/>
  </xdr:twoCellAnchor>
  <xdr:twoCellAnchor>
    <xdr:from>
      <xdr:col>30</xdr:col>
      <xdr:colOff>66675</xdr:colOff>
      <xdr:row>20</xdr:row>
      <xdr:rowOff>19050</xdr:rowOff>
    </xdr:from>
    <xdr:to>
      <xdr:col>30</xdr:col>
      <xdr:colOff>180975</xdr:colOff>
      <xdr:row>20</xdr:row>
      <xdr:rowOff>123825</xdr:rowOff>
    </xdr:to>
    <xdr:sp>
      <xdr:nvSpPr>
        <xdr:cNvPr id="51" name="Oval 146"/>
        <xdr:cNvSpPr>
          <a:spLocks/>
        </xdr:cNvSpPr>
      </xdr:nvSpPr>
      <xdr:spPr>
        <a:xfrm>
          <a:off x="7210425" y="28765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7</a:t>
          </a:r>
        </a:p>
      </xdr:txBody>
    </xdr:sp>
    <xdr:clientData/>
  </xdr:twoCellAnchor>
  <xdr:twoCellAnchor>
    <xdr:from>
      <xdr:col>7</xdr:col>
      <xdr:colOff>66675</xdr:colOff>
      <xdr:row>47</xdr:row>
      <xdr:rowOff>19050</xdr:rowOff>
    </xdr:from>
    <xdr:to>
      <xdr:col>7</xdr:col>
      <xdr:colOff>180975</xdr:colOff>
      <xdr:row>47</xdr:row>
      <xdr:rowOff>123825</xdr:rowOff>
    </xdr:to>
    <xdr:sp>
      <xdr:nvSpPr>
        <xdr:cNvPr id="52" name="Oval 147"/>
        <xdr:cNvSpPr>
          <a:spLocks/>
        </xdr:cNvSpPr>
      </xdr:nvSpPr>
      <xdr:spPr>
        <a:xfrm>
          <a:off x="1733550" y="673417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4</a:t>
          </a:r>
        </a:p>
      </xdr:txBody>
    </xdr:sp>
    <xdr:clientData/>
  </xdr:twoCellAnchor>
  <xdr:twoCellAnchor>
    <xdr:from>
      <xdr:col>10</xdr:col>
      <xdr:colOff>66675</xdr:colOff>
      <xdr:row>17</xdr:row>
      <xdr:rowOff>66675</xdr:rowOff>
    </xdr:from>
    <xdr:to>
      <xdr:col>10</xdr:col>
      <xdr:colOff>180975</xdr:colOff>
      <xdr:row>18</xdr:row>
      <xdr:rowOff>38100</xdr:rowOff>
    </xdr:to>
    <xdr:sp>
      <xdr:nvSpPr>
        <xdr:cNvPr id="53" name="Oval 148"/>
        <xdr:cNvSpPr>
          <a:spLocks/>
        </xdr:cNvSpPr>
      </xdr:nvSpPr>
      <xdr:spPr>
        <a:xfrm>
          <a:off x="2447925" y="24955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5</a:t>
          </a:r>
        </a:p>
      </xdr:txBody>
    </xdr:sp>
    <xdr:clientData/>
  </xdr:twoCellAnchor>
  <xdr:twoCellAnchor>
    <xdr:from>
      <xdr:col>10</xdr:col>
      <xdr:colOff>47625</xdr:colOff>
      <xdr:row>52</xdr:row>
      <xdr:rowOff>76200</xdr:rowOff>
    </xdr:from>
    <xdr:to>
      <xdr:col>10</xdr:col>
      <xdr:colOff>190500</xdr:colOff>
      <xdr:row>52</xdr:row>
      <xdr:rowOff>76200</xdr:rowOff>
    </xdr:to>
    <xdr:sp>
      <xdr:nvSpPr>
        <xdr:cNvPr id="54" name="Line 149"/>
        <xdr:cNvSpPr>
          <a:spLocks/>
        </xdr:cNvSpPr>
      </xdr:nvSpPr>
      <xdr:spPr>
        <a:xfrm>
          <a:off x="2428875" y="7505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66675</xdr:colOff>
      <xdr:row>52</xdr:row>
      <xdr:rowOff>19050</xdr:rowOff>
    </xdr:from>
    <xdr:to>
      <xdr:col>11</xdr:col>
      <xdr:colOff>180975</xdr:colOff>
      <xdr:row>52</xdr:row>
      <xdr:rowOff>123825</xdr:rowOff>
    </xdr:to>
    <xdr:sp>
      <xdr:nvSpPr>
        <xdr:cNvPr id="55" name="Oval 150"/>
        <xdr:cNvSpPr>
          <a:spLocks/>
        </xdr:cNvSpPr>
      </xdr:nvSpPr>
      <xdr:spPr>
        <a:xfrm>
          <a:off x="2686050" y="74485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6</a:t>
          </a:r>
        </a:p>
      </xdr:txBody>
    </xdr:sp>
    <xdr:clientData/>
  </xdr:twoCellAnchor>
  <xdr:twoCellAnchor>
    <xdr:from>
      <xdr:col>4</xdr:col>
      <xdr:colOff>66675</xdr:colOff>
      <xdr:row>28</xdr:row>
      <xdr:rowOff>19050</xdr:rowOff>
    </xdr:from>
    <xdr:to>
      <xdr:col>4</xdr:col>
      <xdr:colOff>180975</xdr:colOff>
      <xdr:row>28</xdr:row>
      <xdr:rowOff>123825</xdr:rowOff>
    </xdr:to>
    <xdr:sp>
      <xdr:nvSpPr>
        <xdr:cNvPr id="56" name="Oval 151"/>
        <xdr:cNvSpPr>
          <a:spLocks/>
        </xdr:cNvSpPr>
      </xdr:nvSpPr>
      <xdr:spPr>
        <a:xfrm>
          <a:off x="1019175" y="40195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6</xdr:col>
      <xdr:colOff>66675</xdr:colOff>
      <xdr:row>28</xdr:row>
      <xdr:rowOff>19050</xdr:rowOff>
    </xdr:from>
    <xdr:to>
      <xdr:col>6</xdr:col>
      <xdr:colOff>180975</xdr:colOff>
      <xdr:row>28</xdr:row>
      <xdr:rowOff>123825</xdr:rowOff>
    </xdr:to>
    <xdr:sp>
      <xdr:nvSpPr>
        <xdr:cNvPr id="57" name="Oval 152"/>
        <xdr:cNvSpPr>
          <a:spLocks/>
        </xdr:cNvSpPr>
      </xdr:nvSpPr>
      <xdr:spPr>
        <a:xfrm>
          <a:off x="1495425" y="40195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7</a:t>
          </a:r>
        </a:p>
      </xdr:txBody>
    </xdr:sp>
    <xdr:clientData/>
  </xdr:twoCellAnchor>
  <xdr:twoCellAnchor>
    <xdr:from>
      <xdr:col>11</xdr:col>
      <xdr:colOff>66675</xdr:colOff>
      <xdr:row>33</xdr:row>
      <xdr:rowOff>19050</xdr:rowOff>
    </xdr:from>
    <xdr:to>
      <xdr:col>11</xdr:col>
      <xdr:colOff>180975</xdr:colOff>
      <xdr:row>33</xdr:row>
      <xdr:rowOff>123825</xdr:rowOff>
    </xdr:to>
    <xdr:sp>
      <xdr:nvSpPr>
        <xdr:cNvPr id="58" name="Oval 153"/>
        <xdr:cNvSpPr>
          <a:spLocks/>
        </xdr:cNvSpPr>
      </xdr:nvSpPr>
      <xdr:spPr>
        <a:xfrm>
          <a:off x="2686050" y="473392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13</xdr:col>
      <xdr:colOff>66675</xdr:colOff>
      <xdr:row>33</xdr:row>
      <xdr:rowOff>19050</xdr:rowOff>
    </xdr:from>
    <xdr:to>
      <xdr:col>13</xdr:col>
      <xdr:colOff>180975</xdr:colOff>
      <xdr:row>33</xdr:row>
      <xdr:rowOff>123825</xdr:rowOff>
    </xdr:to>
    <xdr:sp>
      <xdr:nvSpPr>
        <xdr:cNvPr id="59" name="Oval 154"/>
        <xdr:cNvSpPr>
          <a:spLocks/>
        </xdr:cNvSpPr>
      </xdr:nvSpPr>
      <xdr:spPr>
        <a:xfrm>
          <a:off x="3162300" y="473392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0</xdr:rowOff>
    </xdr:from>
    <xdr:to>
      <xdr:col>9</xdr:col>
      <xdr:colOff>0</xdr:colOff>
      <xdr:row>17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90625" y="1571625"/>
          <a:ext cx="9525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" name="Line 10"/>
        <xdr:cNvSpPr>
          <a:spLocks/>
        </xdr:cNvSpPr>
      </xdr:nvSpPr>
      <xdr:spPr>
        <a:xfrm>
          <a:off x="952500" y="20002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" name="Line 11"/>
        <xdr:cNvSpPr>
          <a:spLocks/>
        </xdr:cNvSpPr>
      </xdr:nvSpPr>
      <xdr:spPr>
        <a:xfrm>
          <a:off x="2143125" y="20002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17</xdr:row>
      <xdr:rowOff>0</xdr:rowOff>
    </xdr:to>
    <xdr:sp>
      <xdr:nvSpPr>
        <xdr:cNvPr id="4" name="Line 14"/>
        <xdr:cNvSpPr>
          <a:spLocks/>
        </xdr:cNvSpPr>
      </xdr:nvSpPr>
      <xdr:spPr>
        <a:xfrm flipV="1">
          <a:off x="1428750" y="17145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17</xdr:row>
      <xdr:rowOff>0</xdr:rowOff>
    </xdr:to>
    <xdr:sp>
      <xdr:nvSpPr>
        <xdr:cNvPr id="5" name="Line 15"/>
        <xdr:cNvSpPr>
          <a:spLocks/>
        </xdr:cNvSpPr>
      </xdr:nvSpPr>
      <xdr:spPr>
        <a:xfrm>
          <a:off x="1666875" y="17145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123825</xdr:colOff>
      <xdr:row>12</xdr:row>
      <xdr:rowOff>66675</xdr:rowOff>
    </xdr:to>
    <xdr:sp>
      <xdr:nvSpPr>
        <xdr:cNvPr id="6" name="Line 16"/>
        <xdr:cNvSpPr>
          <a:spLocks/>
        </xdr:cNvSpPr>
      </xdr:nvSpPr>
      <xdr:spPr>
        <a:xfrm>
          <a:off x="1428750" y="1714500"/>
          <a:ext cx="1238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133350</xdr:colOff>
      <xdr:row>12</xdr:row>
      <xdr:rowOff>0</xdr:rowOff>
    </xdr:from>
    <xdr:to>
      <xdr:col>7</xdr:col>
      <xdr:colOff>0</xdr:colOff>
      <xdr:row>12</xdr:row>
      <xdr:rowOff>66675</xdr:rowOff>
    </xdr:to>
    <xdr:sp>
      <xdr:nvSpPr>
        <xdr:cNvPr id="7" name="Line 17"/>
        <xdr:cNvSpPr>
          <a:spLocks/>
        </xdr:cNvSpPr>
      </xdr:nvSpPr>
      <xdr:spPr>
        <a:xfrm flipV="1">
          <a:off x="1562100" y="1714500"/>
          <a:ext cx="1047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24</xdr:col>
      <xdr:colOff>0</xdr:colOff>
      <xdr:row>22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095625" y="31432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22</xdr:row>
      <xdr:rowOff>0</xdr:rowOff>
    </xdr:to>
    <xdr:sp>
      <xdr:nvSpPr>
        <xdr:cNvPr id="9" name="Line 23"/>
        <xdr:cNvSpPr>
          <a:spLocks/>
        </xdr:cNvSpPr>
      </xdr:nvSpPr>
      <xdr:spPr>
        <a:xfrm>
          <a:off x="5715000" y="1428750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20</xdr:col>
      <xdr:colOff>0</xdr:colOff>
      <xdr:row>20</xdr:row>
      <xdr:rowOff>0</xdr:rowOff>
    </xdr:to>
    <xdr:sp>
      <xdr:nvSpPr>
        <xdr:cNvPr id="10" name="Arc 24"/>
        <xdr:cNvSpPr>
          <a:spLocks/>
        </xdr:cNvSpPr>
      </xdr:nvSpPr>
      <xdr:spPr>
        <a:xfrm rot="5400000">
          <a:off x="3095625" y="1428750"/>
          <a:ext cx="1666875" cy="14287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1" name="Line 25"/>
        <xdr:cNvSpPr>
          <a:spLocks/>
        </xdr:cNvSpPr>
      </xdr:nvSpPr>
      <xdr:spPr>
        <a:xfrm>
          <a:off x="4762500" y="1428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22</xdr:col>
      <xdr:colOff>190500</xdr:colOff>
      <xdr:row>13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5000625" y="18573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0</xdr:rowOff>
    </xdr:from>
    <xdr:to>
      <xdr:col>23</xdr:col>
      <xdr:colOff>0</xdr:colOff>
      <xdr:row>21</xdr:row>
      <xdr:rowOff>9525</xdr:rowOff>
    </xdr:to>
    <xdr:sp>
      <xdr:nvSpPr>
        <xdr:cNvPr id="13" name="Line 28"/>
        <xdr:cNvSpPr>
          <a:spLocks/>
        </xdr:cNvSpPr>
      </xdr:nvSpPr>
      <xdr:spPr>
        <a:xfrm flipH="1">
          <a:off x="3343275" y="1857375"/>
          <a:ext cx="213360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24</xdr:col>
      <xdr:colOff>0</xdr:colOff>
      <xdr:row>13</xdr:row>
      <xdr:rowOff>0</xdr:rowOff>
    </xdr:to>
    <xdr:sp>
      <xdr:nvSpPr>
        <xdr:cNvPr id="14" name="Line 37"/>
        <xdr:cNvSpPr>
          <a:spLocks/>
        </xdr:cNvSpPr>
      </xdr:nvSpPr>
      <xdr:spPr>
        <a:xfrm>
          <a:off x="5476875" y="1857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123825</xdr:rowOff>
    </xdr:to>
    <xdr:sp>
      <xdr:nvSpPr>
        <xdr:cNvPr id="15" name="Line 39"/>
        <xdr:cNvSpPr>
          <a:spLocks/>
        </xdr:cNvSpPr>
      </xdr:nvSpPr>
      <xdr:spPr>
        <a:xfrm>
          <a:off x="3333750" y="27146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22</xdr:row>
      <xdr:rowOff>0</xdr:rowOff>
    </xdr:to>
    <xdr:sp>
      <xdr:nvSpPr>
        <xdr:cNvPr id="16" name="Line 41"/>
        <xdr:cNvSpPr>
          <a:spLocks/>
        </xdr:cNvSpPr>
      </xdr:nvSpPr>
      <xdr:spPr>
        <a:xfrm>
          <a:off x="3095625" y="28575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>
      <xdr:nvSpPr>
        <xdr:cNvPr id="17" name="Rectangle 68"/>
        <xdr:cNvSpPr>
          <a:spLocks/>
        </xdr:cNvSpPr>
      </xdr:nvSpPr>
      <xdr:spPr>
        <a:xfrm>
          <a:off x="7467600" y="428625"/>
          <a:ext cx="647700" cy="1428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39</xdr:col>
      <xdr:colOff>0</xdr:colOff>
      <xdr:row>36</xdr:row>
      <xdr:rowOff>0</xdr:rowOff>
    </xdr:from>
    <xdr:to>
      <xdr:col>41</xdr:col>
      <xdr:colOff>0</xdr:colOff>
      <xdr:row>37</xdr:row>
      <xdr:rowOff>9525</xdr:rowOff>
    </xdr:to>
    <xdr:pic>
      <xdr:nvPicPr>
        <xdr:cNvPr id="18" name="Combo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1435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0</xdr:colOff>
      <xdr:row>35</xdr:row>
      <xdr:rowOff>0</xdr:rowOff>
    </xdr:from>
    <xdr:to>
      <xdr:col>40</xdr:col>
      <xdr:colOff>180975</xdr:colOff>
      <xdr:row>36</xdr:row>
      <xdr:rowOff>9525</xdr:rowOff>
    </xdr:to>
    <xdr:pic>
      <xdr:nvPicPr>
        <xdr:cNvPr id="19" name="Combo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50006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36</xdr:col>
      <xdr:colOff>0</xdr:colOff>
      <xdr:row>31</xdr:row>
      <xdr:rowOff>0</xdr:rowOff>
    </xdr:from>
    <xdr:to>
      <xdr:col>38</xdr:col>
      <xdr:colOff>0</xdr:colOff>
      <xdr:row>32</xdr:row>
      <xdr:rowOff>9525</xdr:rowOff>
    </xdr:to>
    <xdr:pic>
      <xdr:nvPicPr>
        <xdr:cNvPr id="20" name="Combo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86850" y="44291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32</xdr:row>
      <xdr:rowOff>0</xdr:rowOff>
    </xdr:from>
    <xdr:to>
      <xdr:col>48</xdr:col>
      <xdr:colOff>0</xdr:colOff>
      <xdr:row>33</xdr:row>
      <xdr:rowOff>9525</xdr:rowOff>
    </xdr:to>
    <xdr:pic>
      <xdr:nvPicPr>
        <xdr:cNvPr id="21" name="ComboBox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25350" y="45720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33</xdr:row>
      <xdr:rowOff>0</xdr:rowOff>
    </xdr:from>
    <xdr:to>
      <xdr:col>48</xdr:col>
      <xdr:colOff>0</xdr:colOff>
      <xdr:row>34</xdr:row>
      <xdr:rowOff>9525</xdr:rowOff>
    </xdr:to>
    <xdr:pic>
      <xdr:nvPicPr>
        <xdr:cNvPr id="22" name="ComboBox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25350" y="47148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34</xdr:row>
      <xdr:rowOff>0</xdr:rowOff>
    </xdr:from>
    <xdr:to>
      <xdr:col>48</xdr:col>
      <xdr:colOff>0</xdr:colOff>
      <xdr:row>35</xdr:row>
      <xdr:rowOff>9525</xdr:rowOff>
    </xdr:to>
    <xdr:pic>
      <xdr:nvPicPr>
        <xdr:cNvPr id="23" name="ComboBox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25350" y="48577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35</xdr:row>
      <xdr:rowOff>0</xdr:rowOff>
    </xdr:from>
    <xdr:to>
      <xdr:col>48</xdr:col>
      <xdr:colOff>0</xdr:colOff>
      <xdr:row>36</xdr:row>
      <xdr:rowOff>9525</xdr:rowOff>
    </xdr:to>
    <xdr:pic>
      <xdr:nvPicPr>
        <xdr:cNvPr id="24" name="ComboBox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25350" y="5000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36</xdr:row>
      <xdr:rowOff>0</xdr:rowOff>
    </xdr:from>
    <xdr:to>
      <xdr:col>48</xdr:col>
      <xdr:colOff>0</xdr:colOff>
      <xdr:row>37</xdr:row>
      <xdr:rowOff>9525</xdr:rowOff>
    </xdr:to>
    <xdr:pic>
      <xdr:nvPicPr>
        <xdr:cNvPr id="25" name="ComboBox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25350" y="51435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37</xdr:row>
      <xdr:rowOff>0</xdr:rowOff>
    </xdr:from>
    <xdr:to>
      <xdr:col>48</xdr:col>
      <xdr:colOff>0</xdr:colOff>
      <xdr:row>38</xdr:row>
      <xdr:rowOff>9525</xdr:rowOff>
    </xdr:to>
    <xdr:pic>
      <xdr:nvPicPr>
        <xdr:cNvPr id="26" name="ComboBox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25350" y="5286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38</xdr:row>
      <xdr:rowOff>0</xdr:rowOff>
    </xdr:from>
    <xdr:to>
      <xdr:col>48</xdr:col>
      <xdr:colOff>0</xdr:colOff>
      <xdr:row>39</xdr:row>
      <xdr:rowOff>9525</xdr:rowOff>
    </xdr:to>
    <xdr:pic>
      <xdr:nvPicPr>
        <xdr:cNvPr id="27" name="ComboBox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25350" y="54292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48</xdr:col>
      <xdr:colOff>0</xdr:colOff>
      <xdr:row>31</xdr:row>
      <xdr:rowOff>0</xdr:rowOff>
    </xdr:from>
    <xdr:to>
      <xdr:col>50</xdr:col>
      <xdr:colOff>0</xdr:colOff>
      <xdr:row>32</xdr:row>
      <xdr:rowOff>9525</xdr:rowOff>
    </xdr:to>
    <xdr:pic>
      <xdr:nvPicPr>
        <xdr:cNvPr id="28" name="ComboBox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973050" y="44291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50</xdr:col>
      <xdr:colOff>0</xdr:colOff>
      <xdr:row>51</xdr:row>
      <xdr:rowOff>0</xdr:rowOff>
    </xdr:from>
    <xdr:to>
      <xdr:col>51</xdr:col>
      <xdr:colOff>180975</xdr:colOff>
      <xdr:row>52</xdr:row>
      <xdr:rowOff>9525</xdr:rowOff>
    </xdr:to>
    <xdr:pic>
      <xdr:nvPicPr>
        <xdr:cNvPr id="29" name="ComboBox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620750" y="72866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50</xdr:col>
      <xdr:colOff>0</xdr:colOff>
      <xdr:row>52</xdr:row>
      <xdr:rowOff>0</xdr:rowOff>
    </xdr:from>
    <xdr:to>
      <xdr:col>52</xdr:col>
      <xdr:colOff>0</xdr:colOff>
      <xdr:row>53</xdr:row>
      <xdr:rowOff>9525</xdr:rowOff>
    </xdr:to>
    <xdr:pic>
      <xdr:nvPicPr>
        <xdr:cNvPr id="30" name="ComboBox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20750" y="74295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48</xdr:col>
      <xdr:colOff>0</xdr:colOff>
      <xdr:row>50</xdr:row>
      <xdr:rowOff>0</xdr:rowOff>
    </xdr:from>
    <xdr:to>
      <xdr:col>50</xdr:col>
      <xdr:colOff>0</xdr:colOff>
      <xdr:row>51</xdr:row>
      <xdr:rowOff>9525</xdr:rowOff>
    </xdr:to>
    <xdr:pic>
      <xdr:nvPicPr>
        <xdr:cNvPr id="31" name="ComboBox5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973050" y="71437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39</xdr:row>
      <xdr:rowOff>0</xdr:rowOff>
    </xdr:from>
    <xdr:to>
      <xdr:col>48</xdr:col>
      <xdr:colOff>0</xdr:colOff>
      <xdr:row>40</xdr:row>
      <xdr:rowOff>9525</xdr:rowOff>
    </xdr:to>
    <xdr:pic>
      <xdr:nvPicPr>
        <xdr:cNvPr id="32" name="ComboBox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25350" y="55721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40</xdr:row>
      <xdr:rowOff>0</xdr:rowOff>
    </xdr:from>
    <xdr:to>
      <xdr:col>48</xdr:col>
      <xdr:colOff>0</xdr:colOff>
      <xdr:row>41</xdr:row>
      <xdr:rowOff>9525</xdr:rowOff>
    </xdr:to>
    <xdr:pic>
      <xdr:nvPicPr>
        <xdr:cNvPr id="33" name="ComboBox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25350" y="57150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41</xdr:row>
      <xdr:rowOff>0</xdr:rowOff>
    </xdr:from>
    <xdr:to>
      <xdr:col>48</xdr:col>
      <xdr:colOff>0</xdr:colOff>
      <xdr:row>42</xdr:row>
      <xdr:rowOff>9525</xdr:rowOff>
    </xdr:to>
    <xdr:pic>
      <xdr:nvPicPr>
        <xdr:cNvPr id="34" name="ComboBox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25350" y="58578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42</xdr:col>
      <xdr:colOff>0</xdr:colOff>
      <xdr:row>31</xdr:row>
      <xdr:rowOff>0</xdr:rowOff>
    </xdr:from>
    <xdr:to>
      <xdr:col>45</xdr:col>
      <xdr:colOff>0</xdr:colOff>
      <xdr:row>32</xdr:row>
      <xdr:rowOff>9525</xdr:rowOff>
    </xdr:to>
    <xdr:pic>
      <xdr:nvPicPr>
        <xdr:cNvPr id="35" name="ComboBox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29950" y="4429125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0</xdr:colOff>
      <xdr:row>37</xdr:row>
      <xdr:rowOff>0</xdr:rowOff>
    </xdr:from>
    <xdr:to>
      <xdr:col>41</xdr:col>
      <xdr:colOff>0</xdr:colOff>
      <xdr:row>38</xdr:row>
      <xdr:rowOff>9525</xdr:rowOff>
    </xdr:to>
    <xdr:pic>
      <xdr:nvPicPr>
        <xdr:cNvPr id="36" name="ComboBox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058400" y="5286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sp>
      <xdr:nvSpPr>
        <xdr:cNvPr id="37" name="Line 331"/>
        <xdr:cNvSpPr>
          <a:spLocks/>
        </xdr:cNvSpPr>
      </xdr:nvSpPr>
      <xdr:spPr>
        <a:xfrm flipV="1">
          <a:off x="1428750" y="24288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18</xdr:row>
      <xdr:rowOff>0</xdr:rowOff>
    </xdr:to>
    <xdr:sp>
      <xdr:nvSpPr>
        <xdr:cNvPr id="38" name="Line 332"/>
        <xdr:cNvSpPr>
          <a:spLocks/>
        </xdr:cNvSpPr>
      </xdr:nvSpPr>
      <xdr:spPr>
        <a:xfrm>
          <a:off x="1666875" y="24288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9" name="Line 334"/>
        <xdr:cNvSpPr>
          <a:spLocks/>
        </xdr:cNvSpPr>
      </xdr:nvSpPr>
      <xdr:spPr>
        <a:xfrm>
          <a:off x="1666875" y="20002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38100</xdr:rowOff>
    </xdr:from>
    <xdr:to>
      <xdr:col>33</xdr:col>
      <xdr:colOff>238125</xdr:colOff>
      <xdr:row>4</xdr:row>
      <xdr:rowOff>0</xdr:rowOff>
    </xdr:to>
    <xdr:sp>
      <xdr:nvSpPr>
        <xdr:cNvPr id="40" name="AutoShape 336"/>
        <xdr:cNvSpPr>
          <a:spLocks/>
        </xdr:cNvSpPr>
      </xdr:nvSpPr>
      <xdr:spPr>
        <a:xfrm>
          <a:off x="8115300" y="323850"/>
          <a:ext cx="2381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17</xdr:col>
      <xdr:colOff>66675</xdr:colOff>
      <xdr:row>25</xdr:row>
      <xdr:rowOff>19050</xdr:rowOff>
    </xdr:from>
    <xdr:to>
      <xdr:col>17</xdr:col>
      <xdr:colOff>180975</xdr:colOff>
      <xdr:row>25</xdr:row>
      <xdr:rowOff>123825</xdr:rowOff>
    </xdr:to>
    <xdr:sp>
      <xdr:nvSpPr>
        <xdr:cNvPr id="41" name="Oval 341"/>
        <xdr:cNvSpPr>
          <a:spLocks/>
        </xdr:cNvSpPr>
      </xdr:nvSpPr>
      <xdr:spPr>
        <a:xfrm>
          <a:off x="4114800" y="359092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2</a:t>
          </a:r>
        </a:p>
      </xdr:txBody>
    </xdr:sp>
    <xdr:clientData/>
  </xdr:twoCellAnchor>
  <xdr:twoCellAnchor>
    <xdr:from>
      <xdr:col>19</xdr:col>
      <xdr:colOff>66675</xdr:colOff>
      <xdr:row>25</xdr:row>
      <xdr:rowOff>19050</xdr:rowOff>
    </xdr:from>
    <xdr:to>
      <xdr:col>19</xdr:col>
      <xdr:colOff>180975</xdr:colOff>
      <xdr:row>25</xdr:row>
      <xdr:rowOff>123825</xdr:rowOff>
    </xdr:to>
    <xdr:sp>
      <xdr:nvSpPr>
        <xdr:cNvPr id="42" name="Oval 342"/>
        <xdr:cNvSpPr>
          <a:spLocks/>
        </xdr:cNvSpPr>
      </xdr:nvSpPr>
      <xdr:spPr>
        <a:xfrm>
          <a:off x="4591050" y="359092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7</a:t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21</xdr:col>
      <xdr:colOff>0</xdr:colOff>
      <xdr:row>21</xdr:row>
      <xdr:rowOff>0</xdr:rowOff>
    </xdr:to>
    <xdr:sp>
      <xdr:nvSpPr>
        <xdr:cNvPr id="43" name="Line 345"/>
        <xdr:cNvSpPr>
          <a:spLocks/>
        </xdr:cNvSpPr>
      </xdr:nvSpPr>
      <xdr:spPr>
        <a:xfrm flipH="1">
          <a:off x="3333750" y="1857375"/>
          <a:ext cx="1666875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180975</xdr:colOff>
      <xdr:row>20</xdr:row>
      <xdr:rowOff>85725</xdr:rowOff>
    </xdr:from>
    <xdr:to>
      <xdr:col>14</xdr:col>
      <xdr:colOff>57150</xdr:colOff>
      <xdr:row>21</xdr:row>
      <xdr:rowOff>57150</xdr:rowOff>
    </xdr:to>
    <xdr:sp>
      <xdr:nvSpPr>
        <xdr:cNvPr id="44" name="Oval 346"/>
        <xdr:cNvSpPr>
          <a:spLocks/>
        </xdr:cNvSpPr>
      </xdr:nvSpPr>
      <xdr:spPr>
        <a:xfrm>
          <a:off x="3276600" y="29432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7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22</xdr:row>
      <xdr:rowOff>0</xdr:rowOff>
    </xdr:to>
    <xdr:sp>
      <xdr:nvSpPr>
        <xdr:cNvPr id="45" name="Line 348"/>
        <xdr:cNvSpPr>
          <a:spLocks/>
        </xdr:cNvSpPr>
      </xdr:nvSpPr>
      <xdr:spPr>
        <a:xfrm>
          <a:off x="5000625" y="185737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0</xdr:colOff>
      <xdr:row>22</xdr:row>
      <xdr:rowOff>0</xdr:rowOff>
    </xdr:to>
    <xdr:sp>
      <xdr:nvSpPr>
        <xdr:cNvPr id="46" name="Line 349"/>
        <xdr:cNvSpPr>
          <a:spLocks/>
        </xdr:cNvSpPr>
      </xdr:nvSpPr>
      <xdr:spPr>
        <a:xfrm>
          <a:off x="5476875" y="185737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180975</xdr:colOff>
      <xdr:row>12</xdr:row>
      <xdr:rowOff>85725</xdr:rowOff>
    </xdr:from>
    <xdr:to>
      <xdr:col>21</xdr:col>
      <xdr:colOff>57150</xdr:colOff>
      <xdr:row>13</xdr:row>
      <xdr:rowOff>57150</xdr:rowOff>
    </xdr:to>
    <xdr:sp>
      <xdr:nvSpPr>
        <xdr:cNvPr id="47" name="Oval 350"/>
        <xdr:cNvSpPr>
          <a:spLocks/>
        </xdr:cNvSpPr>
      </xdr:nvSpPr>
      <xdr:spPr>
        <a:xfrm>
          <a:off x="4943475" y="18002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22</xdr:col>
      <xdr:colOff>180975</xdr:colOff>
      <xdr:row>12</xdr:row>
      <xdr:rowOff>85725</xdr:rowOff>
    </xdr:from>
    <xdr:to>
      <xdr:col>23</xdr:col>
      <xdr:colOff>57150</xdr:colOff>
      <xdr:row>13</xdr:row>
      <xdr:rowOff>57150</xdr:rowOff>
    </xdr:to>
    <xdr:sp>
      <xdr:nvSpPr>
        <xdr:cNvPr id="48" name="Oval 351"/>
        <xdr:cNvSpPr>
          <a:spLocks/>
        </xdr:cNvSpPr>
      </xdr:nvSpPr>
      <xdr:spPr>
        <a:xfrm>
          <a:off x="5419725" y="18002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0</xdr:rowOff>
    </xdr:from>
    <xdr:to>
      <xdr:col>9</xdr:col>
      <xdr:colOff>0</xdr:colOff>
      <xdr:row>17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90625" y="1571625"/>
          <a:ext cx="9525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" name="Line 10"/>
        <xdr:cNvSpPr>
          <a:spLocks/>
        </xdr:cNvSpPr>
      </xdr:nvSpPr>
      <xdr:spPr>
        <a:xfrm>
          <a:off x="952500" y="20002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" name="Line 11"/>
        <xdr:cNvSpPr>
          <a:spLocks/>
        </xdr:cNvSpPr>
      </xdr:nvSpPr>
      <xdr:spPr>
        <a:xfrm>
          <a:off x="2143125" y="20002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19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1666875" y="24288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24</xdr:col>
      <xdr:colOff>0</xdr:colOff>
      <xdr:row>22</xdr:row>
      <xdr:rowOff>0</xdr:rowOff>
    </xdr:to>
    <xdr:sp>
      <xdr:nvSpPr>
        <xdr:cNvPr id="5" name="Line 22"/>
        <xdr:cNvSpPr>
          <a:spLocks/>
        </xdr:cNvSpPr>
      </xdr:nvSpPr>
      <xdr:spPr>
        <a:xfrm flipV="1">
          <a:off x="3095625" y="31432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22</xdr:row>
      <xdr:rowOff>0</xdr:rowOff>
    </xdr:to>
    <xdr:sp>
      <xdr:nvSpPr>
        <xdr:cNvPr id="6" name="Line 23"/>
        <xdr:cNvSpPr>
          <a:spLocks/>
        </xdr:cNvSpPr>
      </xdr:nvSpPr>
      <xdr:spPr>
        <a:xfrm>
          <a:off x="5715000" y="1428750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21</xdr:col>
      <xdr:colOff>0</xdr:colOff>
      <xdr:row>20</xdr:row>
      <xdr:rowOff>0</xdr:rowOff>
    </xdr:to>
    <xdr:sp>
      <xdr:nvSpPr>
        <xdr:cNvPr id="7" name="Arc 24"/>
        <xdr:cNvSpPr>
          <a:spLocks/>
        </xdr:cNvSpPr>
      </xdr:nvSpPr>
      <xdr:spPr>
        <a:xfrm rot="5400000">
          <a:off x="3095625" y="1428750"/>
          <a:ext cx="1905000" cy="14287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8" name="Line 25"/>
        <xdr:cNvSpPr>
          <a:spLocks/>
        </xdr:cNvSpPr>
      </xdr:nvSpPr>
      <xdr:spPr>
        <a:xfrm>
          <a:off x="5000625" y="14287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22</xdr:col>
      <xdr:colOff>0</xdr:colOff>
      <xdr:row>17</xdr:row>
      <xdr:rowOff>85725</xdr:rowOff>
    </xdr:to>
    <xdr:sp>
      <xdr:nvSpPr>
        <xdr:cNvPr id="9" name="Line 29"/>
        <xdr:cNvSpPr>
          <a:spLocks/>
        </xdr:cNvSpPr>
      </xdr:nvSpPr>
      <xdr:spPr>
        <a:xfrm flipH="1">
          <a:off x="4800600" y="1857375"/>
          <a:ext cx="438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20</xdr:col>
      <xdr:colOff>0</xdr:colOff>
      <xdr:row>21</xdr:row>
      <xdr:rowOff>0</xdr:rowOff>
    </xdr:to>
    <xdr:sp>
      <xdr:nvSpPr>
        <xdr:cNvPr id="10" name="Line 30"/>
        <xdr:cNvSpPr>
          <a:spLocks/>
        </xdr:cNvSpPr>
      </xdr:nvSpPr>
      <xdr:spPr>
        <a:xfrm flipH="1">
          <a:off x="3571875" y="2571750"/>
          <a:ext cx="11906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18</xdr:col>
      <xdr:colOff>47625</xdr:colOff>
      <xdr:row>21</xdr:row>
      <xdr:rowOff>0</xdr:rowOff>
    </xdr:to>
    <xdr:sp>
      <xdr:nvSpPr>
        <xdr:cNvPr id="11" name="Line 31"/>
        <xdr:cNvSpPr>
          <a:spLocks/>
        </xdr:cNvSpPr>
      </xdr:nvSpPr>
      <xdr:spPr>
        <a:xfrm flipH="1">
          <a:off x="3571875" y="30003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114300</xdr:colOff>
      <xdr:row>18</xdr:row>
      <xdr:rowOff>38100</xdr:rowOff>
    </xdr:from>
    <xdr:to>
      <xdr:col>19</xdr:col>
      <xdr:colOff>200025</xdr:colOff>
      <xdr:row>21</xdr:row>
      <xdr:rowOff>0</xdr:rowOff>
    </xdr:to>
    <xdr:sp>
      <xdr:nvSpPr>
        <xdr:cNvPr id="12" name="Line 32"/>
        <xdr:cNvSpPr>
          <a:spLocks/>
        </xdr:cNvSpPr>
      </xdr:nvSpPr>
      <xdr:spPr>
        <a:xfrm flipH="1">
          <a:off x="4400550" y="2609850"/>
          <a:ext cx="3238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24</xdr:col>
      <xdr:colOff>0</xdr:colOff>
      <xdr:row>13</xdr:row>
      <xdr:rowOff>0</xdr:rowOff>
    </xdr:to>
    <xdr:sp>
      <xdr:nvSpPr>
        <xdr:cNvPr id="13" name="Line 37"/>
        <xdr:cNvSpPr>
          <a:spLocks/>
        </xdr:cNvSpPr>
      </xdr:nvSpPr>
      <xdr:spPr>
        <a:xfrm>
          <a:off x="5238750" y="18573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123825</xdr:rowOff>
    </xdr:to>
    <xdr:sp>
      <xdr:nvSpPr>
        <xdr:cNvPr id="14" name="Line 39"/>
        <xdr:cNvSpPr>
          <a:spLocks/>
        </xdr:cNvSpPr>
      </xdr:nvSpPr>
      <xdr:spPr>
        <a:xfrm>
          <a:off x="3333750" y="27146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22</xdr:row>
      <xdr:rowOff>0</xdr:rowOff>
    </xdr:to>
    <xdr:sp>
      <xdr:nvSpPr>
        <xdr:cNvPr id="15" name="Line 41"/>
        <xdr:cNvSpPr>
          <a:spLocks/>
        </xdr:cNvSpPr>
      </xdr:nvSpPr>
      <xdr:spPr>
        <a:xfrm>
          <a:off x="3095625" y="28575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>
      <xdr:nvSpPr>
        <xdr:cNvPr id="16" name="Rectangle 43"/>
        <xdr:cNvSpPr>
          <a:spLocks/>
        </xdr:cNvSpPr>
      </xdr:nvSpPr>
      <xdr:spPr>
        <a:xfrm>
          <a:off x="7467600" y="428625"/>
          <a:ext cx="647700" cy="1428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38100</xdr:rowOff>
    </xdr:from>
    <xdr:to>
      <xdr:col>33</xdr:col>
      <xdr:colOff>238125</xdr:colOff>
      <xdr:row>4</xdr:row>
      <xdr:rowOff>0</xdr:rowOff>
    </xdr:to>
    <xdr:sp>
      <xdr:nvSpPr>
        <xdr:cNvPr id="17" name="AutoShape 44"/>
        <xdr:cNvSpPr>
          <a:spLocks/>
        </xdr:cNvSpPr>
      </xdr:nvSpPr>
      <xdr:spPr>
        <a:xfrm>
          <a:off x="8115300" y="323850"/>
          <a:ext cx="2381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7</xdr:col>
      <xdr:colOff>66675</xdr:colOff>
      <xdr:row>26</xdr:row>
      <xdr:rowOff>19050</xdr:rowOff>
    </xdr:from>
    <xdr:to>
      <xdr:col>7</xdr:col>
      <xdr:colOff>180975</xdr:colOff>
      <xdr:row>26</xdr:row>
      <xdr:rowOff>123825</xdr:rowOff>
    </xdr:to>
    <xdr:sp>
      <xdr:nvSpPr>
        <xdr:cNvPr id="18" name="Oval 57"/>
        <xdr:cNvSpPr>
          <a:spLocks/>
        </xdr:cNvSpPr>
      </xdr:nvSpPr>
      <xdr:spPr>
        <a:xfrm>
          <a:off x="1733550" y="37338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3</a:t>
          </a:r>
        </a:p>
      </xdr:txBody>
    </xdr:sp>
    <xdr:clientData/>
  </xdr:twoCellAnchor>
  <xdr:twoCellAnchor>
    <xdr:from>
      <xdr:col>9</xdr:col>
      <xdr:colOff>66675</xdr:colOff>
      <xdr:row>26</xdr:row>
      <xdr:rowOff>19050</xdr:rowOff>
    </xdr:from>
    <xdr:to>
      <xdr:col>9</xdr:col>
      <xdr:colOff>180975</xdr:colOff>
      <xdr:row>26</xdr:row>
      <xdr:rowOff>123825</xdr:rowOff>
    </xdr:to>
    <xdr:sp>
      <xdr:nvSpPr>
        <xdr:cNvPr id="19" name="Oval 58"/>
        <xdr:cNvSpPr>
          <a:spLocks/>
        </xdr:cNvSpPr>
      </xdr:nvSpPr>
      <xdr:spPr>
        <a:xfrm>
          <a:off x="2209800" y="37338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7</a:t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>
      <xdr:nvSpPr>
        <xdr:cNvPr id="20" name="Line 59"/>
        <xdr:cNvSpPr>
          <a:spLocks/>
        </xdr:cNvSpPr>
      </xdr:nvSpPr>
      <xdr:spPr>
        <a:xfrm>
          <a:off x="4762500" y="2571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>
      <xdr:nvSpPr>
        <xdr:cNvPr id="21" name="Line 60"/>
        <xdr:cNvSpPr>
          <a:spLocks/>
        </xdr:cNvSpPr>
      </xdr:nvSpPr>
      <xdr:spPr>
        <a:xfrm>
          <a:off x="4286250" y="30003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39</xdr:col>
      <xdr:colOff>0</xdr:colOff>
      <xdr:row>36</xdr:row>
      <xdr:rowOff>0</xdr:rowOff>
    </xdr:from>
    <xdr:to>
      <xdr:col>41</xdr:col>
      <xdr:colOff>0</xdr:colOff>
      <xdr:row>37</xdr:row>
      <xdr:rowOff>9525</xdr:rowOff>
    </xdr:to>
    <xdr:pic>
      <xdr:nvPicPr>
        <xdr:cNvPr id="22" name="Combo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1435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0</xdr:colOff>
      <xdr:row>35</xdr:row>
      <xdr:rowOff>0</xdr:rowOff>
    </xdr:from>
    <xdr:to>
      <xdr:col>40</xdr:col>
      <xdr:colOff>180975</xdr:colOff>
      <xdr:row>36</xdr:row>
      <xdr:rowOff>9525</xdr:rowOff>
    </xdr:to>
    <xdr:pic>
      <xdr:nvPicPr>
        <xdr:cNvPr id="23" name="Combo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50006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36</xdr:col>
      <xdr:colOff>0</xdr:colOff>
      <xdr:row>31</xdr:row>
      <xdr:rowOff>0</xdr:rowOff>
    </xdr:from>
    <xdr:to>
      <xdr:col>38</xdr:col>
      <xdr:colOff>0</xdr:colOff>
      <xdr:row>32</xdr:row>
      <xdr:rowOff>9525</xdr:rowOff>
    </xdr:to>
    <xdr:pic>
      <xdr:nvPicPr>
        <xdr:cNvPr id="24" name="Combo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86850" y="44291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32</xdr:row>
      <xdr:rowOff>0</xdr:rowOff>
    </xdr:from>
    <xdr:to>
      <xdr:col>48</xdr:col>
      <xdr:colOff>0</xdr:colOff>
      <xdr:row>33</xdr:row>
      <xdr:rowOff>9525</xdr:rowOff>
    </xdr:to>
    <xdr:pic>
      <xdr:nvPicPr>
        <xdr:cNvPr id="25" name="ComboBox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25350" y="45720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33</xdr:row>
      <xdr:rowOff>0</xdr:rowOff>
    </xdr:from>
    <xdr:to>
      <xdr:col>48</xdr:col>
      <xdr:colOff>0</xdr:colOff>
      <xdr:row>34</xdr:row>
      <xdr:rowOff>9525</xdr:rowOff>
    </xdr:to>
    <xdr:pic>
      <xdr:nvPicPr>
        <xdr:cNvPr id="26" name="ComboBox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25350" y="47148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34</xdr:row>
      <xdr:rowOff>0</xdr:rowOff>
    </xdr:from>
    <xdr:to>
      <xdr:col>48</xdr:col>
      <xdr:colOff>0</xdr:colOff>
      <xdr:row>35</xdr:row>
      <xdr:rowOff>9525</xdr:rowOff>
    </xdr:to>
    <xdr:pic>
      <xdr:nvPicPr>
        <xdr:cNvPr id="27" name="ComboBox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25350" y="48577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35</xdr:row>
      <xdr:rowOff>0</xdr:rowOff>
    </xdr:from>
    <xdr:to>
      <xdr:col>48</xdr:col>
      <xdr:colOff>0</xdr:colOff>
      <xdr:row>36</xdr:row>
      <xdr:rowOff>9525</xdr:rowOff>
    </xdr:to>
    <xdr:pic>
      <xdr:nvPicPr>
        <xdr:cNvPr id="28" name="ComboBox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25350" y="5000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36</xdr:row>
      <xdr:rowOff>0</xdr:rowOff>
    </xdr:from>
    <xdr:to>
      <xdr:col>48</xdr:col>
      <xdr:colOff>0</xdr:colOff>
      <xdr:row>37</xdr:row>
      <xdr:rowOff>9525</xdr:rowOff>
    </xdr:to>
    <xdr:pic>
      <xdr:nvPicPr>
        <xdr:cNvPr id="29" name="ComboBox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25350" y="51435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37</xdr:row>
      <xdr:rowOff>0</xdr:rowOff>
    </xdr:from>
    <xdr:to>
      <xdr:col>48</xdr:col>
      <xdr:colOff>0</xdr:colOff>
      <xdr:row>38</xdr:row>
      <xdr:rowOff>9525</xdr:rowOff>
    </xdr:to>
    <xdr:pic>
      <xdr:nvPicPr>
        <xdr:cNvPr id="30" name="ComboBox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25350" y="5286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38</xdr:row>
      <xdr:rowOff>0</xdr:rowOff>
    </xdr:from>
    <xdr:to>
      <xdr:col>48</xdr:col>
      <xdr:colOff>0</xdr:colOff>
      <xdr:row>39</xdr:row>
      <xdr:rowOff>9525</xdr:rowOff>
    </xdr:to>
    <xdr:pic>
      <xdr:nvPicPr>
        <xdr:cNvPr id="31" name="ComboBox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25350" y="54292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48</xdr:col>
      <xdr:colOff>0</xdr:colOff>
      <xdr:row>31</xdr:row>
      <xdr:rowOff>0</xdr:rowOff>
    </xdr:from>
    <xdr:to>
      <xdr:col>50</xdr:col>
      <xdr:colOff>0</xdr:colOff>
      <xdr:row>32</xdr:row>
      <xdr:rowOff>9525</xdr:rowOff>
    </xdr:to>
    <xdr:pic>
      <xdr:nvPicPr>
        <xdr:cNvPr id="32" name="ComboBox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973050" y="44291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50</xdr:col>
      <xdr:colOff>0</xdr:colOff>
      <xdr:row>51</xdr:row>
      <xdr:rowOff>0</xdr:rowOff>
    </xdr:from>
    <xdr:to>
      <xdr:col>51</xdr:col>
      <xdr:colOff>180975</xdr:colOff>
      <xdr:row>52</xdr:row>
      <xdr:rowOff>9525</xdr:rowOff>
    </xdr:to>
    <xdr:pic>
      <xdr:nvPicPr>
        <xdr:cNvPr id="33" name="ComboBox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620750" y="72866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50</xdr:col>
      <xdr:colOff>0</xdr:colOff>
      <xdr:row>52</xdr:row>
      <xdr:rowOff>0</xdr:rowOff>
    </xdr:from>
    <xdr:to>
      <xdr:col>52</xdr:col>
      <xdr:colOff>0</xdr:colOff>
      <xdr:row>53</xdr:row>
      <xdr:rowOff>9525</xdr:rowOff>
    </xdr:to>
    <xdr:pic>
      <xdr:nvPicPr>
        <xdr:cNvPr id="34" name="ComboBox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20750" y="74295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48</xdr:col>
      <xdr:colOff>0</xdr:colOff>
      <xdr:row>50</xdr:row>
      <xdr:rowOff>0</xdr:rowOff>
    </xdr:from>
    <xdr:to>
      <xdr:col>50</xdr:col>
      <xdr:colOff>0</xdr:colOff>
      <xdr:row>51</xdr:row>
      <xdr:rowOff>9525</xdr:rowOff>
    </xdr:to>
    <xdr:pic>
      <xdr:nvPicPr>
        <xdr:cNvPr id="35" name="ComboBox5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973050" y="71437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39</xdr:row>
      <xdr:rowOff>0</xdr:rowOff>
    </xdr:from>
    <xdr:to>
      <xdr:col>48</xdr:col>
      <xdr:colOff>0</xdr:colOff>
      <xdr:row>40</xdr:row>
      <xdr:rowOff>9525</xdr:rowOff>
    </xdr:to>
    <xdr:pic>
      <xdr:nvPicPr>
        <xdr:cNvPr id="36" name="ComboBox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25350" y="55721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40</xdr:row>
      <xdr:rowOff>0</xdr:rowOff>
    </xdr:from>
    <xdr:to>
      <xdr:col>48</xdr:col>
      <xdr:colOff>0</xdr:colOff>
      <xdr:row>41</xdr:row>
      <xdr:rowOff>9525</xdr:rowOff>
    </xdr:to>
    <xdr:pic>
      <xdr:nvPicPr>
        <xdr:cNvPr id="37" name="ComboBox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25350" y="57150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41</xdr:row>
      <xdr:rowOff>0</xdr:rowOff>
    </xdr:from>
    <xdr:to>
      <xdr:col>48</xdr:col>
      <xdr:colOff>0</xdr:colOff>
      <xdr:row>42</xdr:row>
      <xdr:rowOff>9525</xdr:rowOff>
    </xdr:to>
    <xdr:pic>
      <xdr:nvPicPr>
        <xdr:cNvPr id="38" name="ComboBox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25350" y="58578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42</xdr:col>
      <xdr:colOff>0</xdr:colOff>
      <xdr:row>31</xdr:row>
      <xdr:rowOff>0</xdr:rowOff>
    </xdr:from>
    <xdr:to>
      <xdr:col>45</xdr:col>
      <xdr:colOff>0</xdr:colOff>
      <xdr:row>32</xdr:row>
      <xdr:rowOff>9525</xdr:rowOff>
    </xdr:to>
    <xdr:pic>
      <xdr:nvPicPr>
        <xdr:cNvPr id="39" name="ComboBox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29950" y="4429125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0</xdr:colOff>
      <xdr:row>37</xdr:row>
      <xdr:rowOff>0</xdr:rowOff>
    </xdr:from>
    <xdr:to>
      <xdr:col>41</xdr:col>
      <xdr:colOff>0</xdr:colOff>
      <xdr:row>38</xdr:row>
      <xdr:rowOff>9525</xdr:rowOff>
    </xdr:to>
    <xdr:pic>
      <xdr:nvPicPr>
        <xdr:cNvPr id="40" name="ComboBox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058400" y="5286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171450</xdr:colOff>
      <xdr:row>67</xdr:row>
      <xdr:rowOff>104775</xdr:rowOff>
    </xdr:from>
    <xdr:to>
      <xdr:col>51</xdr:col>
      <xdr:colOff>171450</xdr:colOff>
      <xdr:row>68</xdr:row>
      <xdr:rowOff>114300</xdr:rowOff>
    </xdr:to>
    <xdr:pic>
      <xdr:nvPicPr>
        <xdr:cNvPr id="41" name="ComboBox2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468350" y="96774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15</xdr:col>
      <xdr:colOff>0</xdr:colOff>
      <xdr:row>13</xdr:row>
      <xdr:rowOff>0</xdr:rowOff>
    </xdr:from>
    <xdr:to>
      <xdr:col>22</xdr:col>
      <xdr:colOff>0</xdr:colOff>
      <xdr:row>21</xdr:row>
      <xdr:rowOff>0</xdr:rowOff>
    </xdr:to>
    <xdr:sp>
      <xdr:nvSpPr>
        <xdr:cNvPr id="42" name="Line 95"/>
        <xdr:cNvSpPr>
          <a:spLocks/>
        </xdr:cNvSpPr>
      </xdr:nvSpPr>
      <xdr:spPr>
        <a:xfrm flipH="1">
          <a:off x="3571875" y="1857375"/>
          <a:ext cx="1666875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180975</xdr:colOff>
      <xdr:row>20</xdr:row>
      <xdr:rowOff>76200</xdr:rowOff>
    </xdr:from>
    <xdr:to>
      <xdr:col>15</xdr:col>
      <xdr:colOff>57150</xdr:colOff>
      <xdr:row>21</xdr:row>
      <xdr:rowOff>47625</xdr:rowOff>
    </xdr:to>
    <xdr:sp>
      <xdr:nvSpPr>
        <xdr:cNvPr id="43" name="Oval 97"/>
        <xdr:cNvSpPr>
          <a:spLocks/>
        </xdr:cNvSpPr>
      </xdr:nvSpPr>
      <xdr:spPr>
        <a:xfrm>
          <a:off x="3514725" y="29337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7</a:t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22</xdr:col>
      <xdr:colOff>0</xdr:colOff>
      <xdr:row>22</xdr:row>
      <xdr:rowOff>0</xdr:rowOff>
    </xdr:to>
    <xdr:sp>
      <xdr:nvSpPr>
        <xdr:cNvPr id="44" name="Line 98"/>
        <xdr:cNvSpPr>
          <a:spLocks/>
        </xdr:cNvSpPr>
      </xdr:nvSpPr>
      <xdr:spPr>
        <a:xfrm>
          <a:off x="5238750" y="185737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0</xdr:colOff>
      <xdr:row>22</xdr:row>
      <xdr:rowOff>0</xdr:rowOff>
    </xdr:to>
    <xdr:sp>
      <xdr:nvSpPr>
        <xdr:cNvPr id="45" name="Line 99"/>
        <xdr:cNvSpPr>
          <a:spLocks/>
        </xdr:cNvSpPr>
      </xdr:nvSpPr>
      <xdr:spPr>
        <a:xfrm>
          <a:off x="4762500" y="25717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123825</xdr:colOff>
      <xdr:row>21</xdr:row>
      <xdr:rowOff>0</xdr:rowOff>
    </xdr:from>
    <xdr:to>
      <xdr:col>18</xdr:col>
      <xdr:colOff>123825</xdr:colOff>
      <xdr:row>22</xdr:row>
      <xdr:rowOff>0</xdr:rowOff>
    </xdr:to>
    <xdr:sp>
      <xdr:nvSpPr>
        <xdr:cNvPr id="46" name="Line 100"/>
        <xdr:cNvSpPr>
          <a:spLocks/>
        </xdr:cNvSpPr>
      </xdr:nvSpPr>
      <xdr:spPr>
        <a:xfrm>
          <a:off x="4410075" y="3000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180975</xdr:colOff>
      <xdr:row>12</xdr:row>
      <xdr:rowOff>76200</xdr:rowOff>
    </xdr:from>
    <xdr:to>
      <xdr:col>22</xdr:col>
      <xdr:colOff>57150</xdr:colOff>
      <xdr:row>13</xdr:row>
      <xdr:rowOff>47625</xdr:rowOff>
    </xdr:to>
    <xdr:sp>
      <xdr:nvSpPr>
        <xdr:cNvPr id="47" name="Oval 101"/>
        <xdr:cNvSpPr>
          <a:spLocks/>
        </xdr:cNvSpPr>
      </xdr:nvSpPr>
      <xdr:spPr>
        <a:xfrm>
          <a:off x="5181600" y="17907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19</xdr:col>
      <xdr:colOff>180975</xdr:colOff>
      <xdr:row>17</xdr:row>
      <xdr:rowOff>76200</xdr:rowOff>
    </xdr:from>
    <xdr:to>
      <xdr:col>20</xdr:col>
      <xdr:colOff>57150</xdr:colOff>
      <xdr:row>18</xdr:row>
      <xdr:rowOff>47625</xdr:rowOff>
    </xdr:to>
    <xdr:sp>
      <xdr:nvSpPr>
        <xdr:cNvPr id="48" name="Oval 102"/>
        <xdr:cNvSpPr>
          <a:spLocks/>
        </xdr:cNvSpPr>
      </xdr:nvSpPr>
      <xdr:spPr>
        <a:xfrm>
          <a:off x="4705350" y="25050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3</a:t>
          </a:r>
        </a:p>
      </xdr:txBody>
    </xdr:sp>
    <xdr:clientData/>
  </xdr:twoCellAnchor>
  <xdr:twoCellAnchor>
    <xdr:from>
      <xdr:col>18</xdr:col>
      <xdr:colOff>57150</xdr:colOff>
      <xdr:row>20</xdr:row>
      <xdr:rowOff>76200</xdr:rowOff>
    </xdr:from>
    <xdr:to>
      <xdr:col>18</xdr:col>
      <xdr:colOff>171450</xdr:colOff>
      <xdr:row>21</xdr:row>
      <xdr:rowOff>47625</xdr:rowOff>
    </xdr:to>
    <xdr:sp>
      <xdr:nvSpPr>
        <xdr:cNvPr id="49" name="Oval 103"/>
        <xdr:cNvSpPr>
          <a:spLocks/>
        </xdr:cNvSpPr>
      </xdr:nvSpPr>
      <xdr:spPr>
        <a:xfrm>
          <a:off x="4343400" y="29337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0</xdr:rowOff>
    </xdr:from>
    <xdr:to>
      <xdr:col>10</xdr:col>
      <xdr:colOff>0</xdr:colOff>
      <xdr:row>17</xdr:row>
      <xdr:rowOff>0</xdr:rowOff>
    </xdr:to>
    <xdr:sp>
      <xdr:nvSpPr>
        <xdr:cNvPr id="1" name="Rectangle 24"/>
        <xdr:cNvSpPr>
          <a:spLocks/>
        </xdr:cNvSpPr>
      </xdr:nvSpPr>
      <xdr:spPr>
        <a:xfrm>
          <a:off x="1190625" y="1571625"/>
          <a:ext cx="11906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" name="Line 25"/>
        <xdr:cNvSpPr>
          <a:spLocks/>
        </xdr:cNvSpPr>
      </xdr:nvSpPr>
      <xdr:spPr>
        <a:xfrm>
          <a:off x="952500" y="20002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3" name="Line 26"/>
        <xdr:cNvSpPr>
          <a:spLocks/>
        </xdr:cNvSpPr>
      </xdr:nvSpPr>
      <xdr:spPr>
        <a:xfrm>
          <a:off x="2381250" y="20002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17</xdr:row>
      <xdr:rowOff>0</xdr:rowOff>
    </xdr:to>
    <xdr:sp>
      <xdr:nvSpPr>
        <xdr:cNvPr id="4" name="Line 29"/>
        <xdr:cNvSpPr>
          <a:spLocks/>
        </xdr:cNvSpPr>
      </xdr:nvSpPr>
      <xdr:spPr>
        <a:xfrm flipH="1" flipV="1">
          <a:off x="1666875" y="17145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17</xdr:row>
      <xdr:rowOff>0</xdr:rowOff>
    </xdr:to>
    <xdr:sp>
      <xdr:nvSpPr>
        <xdr:cNvPr id="5" name="Line 30"/>
        <xdr:cNvSpPr>
          <a:spLocks/>
        </xdr:cNvSpPr>
      </xdr:nvSpPr>
      <xdr:spPr>
        <a:xfrm>
          <a:off x="1905000" y="17145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123825</xdr:colOff>
      <xdr:row>12</xdr:row>
      <xdr:rowOff>66675</xdr:rowOff>
    </xdr:to>
    <xdr:sp>
      <xdr:nvSpPr>
        <xdr:cNvPr id="6" name="Line 31"/>
        <xdr:cNvSpPr>
          <a:spLocks/>
        </xdr:cNvSpPr>
      </xdr:nvSpPr>
      <xdr:spPr>
        <a:xfrm>
          <a:off x="1666875" y="1714500"/>
          <a:ext cx="1238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133350</xdr:colOff>
      <xdr:row>12</xdr:row>
      <xdr:rowOff>0</xdr:rowOff>
    </xdr:from>
    <xdr:to>
      <xdr:col>8</xdr:col>
      <xdr:colOff>0</xdr:colOff>
      <xdr:row>12</xdr:row>
      <xdr:rowOff>66675</xdr:rowOff>
    </xdr:to>
    <xdr:sp>
      <xdr:nvSpPr>
        <xdr:cNvPr id="7" name="Line 32"/>
        <xdr:cNvSpPr>
          <a:spLocks/>
        </xdr:cNvSpPr>
      </xdr:nvSpPr>
      <xdr:spPr>
        <a:xfrm flipV="1">
          <a:off x="1800225" y="1714500"/>
          <a:ext cx="1047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18</xdr:row>
      <xdr:rowOff>0</xdr:rowOff>
    </xdr:to>
    <xdr:sp>
      <xdr:nvSpPr>
        <xdr:cNvPr id="8" name="Line 33"/>
        <xdr:cNvSpPr>
          <a:spLocks/>
        </xdr:cNvSpPr>
      </xdr:nvSpPr>
      <xdr:spPr>
        <a:xfrm>
          <a:off x="2143125" y="24288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24</xdr:col>
      <xdr:colOff>0</xdr:colOff>
      <xdr:row>22</xdr:row>
      <xdr:rowOff>0</xdr:rowOff>
    </xdr:to>
    <xdr:sp>
      <xdr:nvSpPr>
        <xdr:cNvPr id="9" name="Line 56"/>
        <xdr:cNvSpPr>
          <a:spLocks/>
        </xdr:cNvSpPr>
      </xdr:nvSpPr>
      <xdr:spPr>
        <a:xfrm flipV="1">
          <a:off x="3095625" y="31432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22</xdr:row>
      <xdr:rowOff>0</xdr:rowOff>
    </xdr:to>
    <xdr:sp>
      <xdr:nvSpPr>
        <xdr:cNvPr id="10" name="Line 57"/>
        <xdr:cNvSpPr>
          <a:spLocks/>
        </xdr:cNvSpPr>
      </xdr:nvSpPr>
      <xdr:spPr>
        <a:xfrm>
          <a:off x="5715000" y="1428750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22</xdr:col>
      <xdr:colOff>0</xdr:colOff>
      <xdr:row>20</xdr:row>
      <xdr:rowOff>0</xdr:rowOff>
    </xdr:to>
    <xdr:sp>
      <xdr:nvSpPr>
        <xdr:cNvPr id="11" name="Arc 58"/>
        <xdr:cNvSpPr>
          <a:spLocks/>
        </xdr:cNvSpPr>
      </xdr:nvSpPr>
      <xdr:spPr>
        <a:xfrm rot="5400000">
          <a:off x="3095625" y="1428750"/>
          <a:ext cx="2143125" cy="14287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2" name="Line 59"/>
        <xdr:cNvSpPr>
          <a:spLocks/>
        </xdr:cNvSpPr>
      </xdr:nvSpPr>
      <xdr:spPr>
        <a:xfrm>
          <a:off x="5238750" y="14287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47625</xdr:colOff>
      <xdr:row>13</xdr:row>
      <xdr:rowOff>0</xdr:rowOff>
    </xdr:from>
    <xdr:to>
      <xdr:col>23</xdr:col>
      <xdr:colOff>0</xdr:colOff>
      <xdr:row>18</xdr:row>
      <xdr:rowOff>104775</xdr:rowOff>
    </xdr:to>
    <xdr:sp>
      <xdr:nvSpPr>
        <xdr:cNvPr id="13" name="Line 61"/>
        <xdr:cNvSpPr>
          <a:spLocks/>
        </xdr:cNvSpPr>
      </xdr:nvSpPr>
      <xdr:spPr>
        <a:xfrm flipH="1">
          <a:off x="4095750" y="1857375"/>
          <a:ext cx="1381125" cy="819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17</xdr:col>
      <xdr:colOff>0</xdr:colOff>
      <xdr:row>21</xdr:row>
      <xdr:rowOff>0</xdr:rowOff>
    </xdr:to>
    <xdr:sp>
      <xdr:nvSpPr>
        <xdr:cNvPr id="14" name="Line 67"/>
        <xdr:cNvSpPr>
          <a:spLocks/>
        </xdr:cNvSpPr>
      </xdr:nvSpPr>
      <xdr:spPr>
        <a:xfrm flipH="1">
          <a:off x="3571875" y="2714625"/>
          <a:ext cx="47625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24</xdr:col>
      <xdr:colOff>0</xdr:colOff>
      <xdr:row>13</xdr:row>
      <xdr:rowOff>0</xdr:rowOff>
    </xdr:to>
    <xdr:sp>
      <xdr:nvSpPr>
        <xdr:cNvPr id="15" name="Line 71"/>
        <xdr:cNvSpPr>
          <a:spLocks/>
        </xdr:cNvSpPr>
      </xdr:nvSpPr>
      <xdr:spPr>
        <a:xfrm>
          <a:off x="5476875" y="1857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123825</xdr:rowOff>
    </xdr:to>
    <xdr:sp>
      <xdr:nvSpPr>
        <xdr:cNvPr id="16" name="Line 73"/>
        <xdr:cNvSpPr>
          <a:spLocks/>
        </xdr:cNvSpPr>
      </xdr:nvSpPr>
      <xdr:spPr>
        <a:xfrm>
          <a:off x="3333750" y="27146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22</xdr:row>
      <xdr:rowOff>0</xdr:rowOff>
    </xdr:to>
    <xdr:sp>
      <xdr:nvSpPr>
        <xdr:cNvPr id="17" name="Line 75"/>
        <xdr:cNvSpPr>
          <a:spLocks/>
        </xdr:cNvSpPr>
      </xdr:nvSpPr>
      <xdr:spPr>
        <a:xfrm>
          <a:off x="3095625" y="28575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>
      <xdr:nvSpPr>
        <xdr:cNvPr id="18" name="Rectangle 77"/>
        <xdr:cNvSpPr>
          <a:spLocks/>
        </xdr:cNvSpPr>
      </xdr:nvSpPr>
      <xdr:spPr>
        <a:xfrm>
          <a:off x="7467600" y="428625"/>
          <a:ext cx="647700" cy="1428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38100</xdr:rowOff>
    </xdr:from>
    <xdr:to>
      <xdr:col>33</xdr:col>
      <xdr:colOff>238125</xdr:colOff>
      <xdr:row>4</xdr:row>
      <xdr:rowOff>0</xdr:rowOff>
    </xdr:to>
    <xdr:sp>
      <xdr:nvSpPr>
        <xdr:cNvPr id="19" name="AutoShape 78"/>
        <xdr:cNvSpPr>
          <a:spLocks/>
        </xdr:cNvSpPr>
      </xdr:nvSpPr>
      <xdr:spPr>
        <a:xfrm>
          <a:off x="8115300" y="323850"/>
          <a:ext cx="2381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18</xdr:row>
      <xdr:rowOff>0</xdr:rowOff>
    </xdr:to>
    <xdr:sp>
      <xdr:nvSpPr>
        <xdr:cNvPr id="20" name="Line 84"/>
        <xdr:cNvSpPr>
          <a:spLocks/>
        </xdr:cNvSpPr>
      </xdr:nvSpPr>
      <xdr:spPr>
        <a:xfrm flipV="1">
          <a:off x="1666875" y="24288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18</xdr:row>
      <xdr:rowOff>0</xdr:rowOff>
    </xdr:to>
    <xdr:sp>
      <xdr:nvSpPr>
        <xdr:cNvPr id="21" name="Line 85"/>
        <xdr:cNvSpPr>
          <a:spLocks/>
        </xdr:cNvSpPr>
      </xdr:nvSpPr>
      <xdr:spPr>
        <a:xfrm>
          <a:off x="1905000" y="24288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180975</xdr:colOff>
      <xdr:row>20</xdr:row>
      <xdr:rowOff>85725</xdr:rowOff>
    </xdr:from>
    <xdr:to>
      <xdr:col>15</xdr:col>
      <xdr:colOff>57150</xdr:colOff>
      <xdr:row>21</xdr:row>
      <xdr:rowOff>57150</xdr:rowOff>
    </xdr:to>
    <xdr:sp>
      <xdr:nvSpPr>
        <xdr:cNvPr id="22" name="Oval 88"/>
        <xdr:cNvSpPr>
          <a:spLocks/>
        </xdr:cNvSpPr>
      </xdr:nvSpPr>
      <xdr:spPr>
        <a:xfrm>
          <a:off x="3514725" y="29432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7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23" name="Line 89"/>
        <xdr:cNvSpPr>
          <a:spLocks/>
        </xdr:cNvSpPr>
      </xdr:nvSpPr>
      <xdr:spPr>
        <a:xfrm>
          <a:off x="1428750" y="20002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24</xdr:col>
      <xdr:colOff>0</xdr:colOff>
      <xdr:row>19</xdr:row>
      <xdr:rowOff>0</xdr:rowOff>
    </xdr:to>
    <xdr:sp>
      <xdr:nvSpPr>
        <xdr:cNvPr id="24" name="Line 95"/>
        <xdr:cNvSpPr>
          <a:spLocks/>
        </xdr:cNvSpPr>
      </xdr:nvSpPr>
      <xdr:spPr>
        <a:xfrm>
          <a:off x="4048125" y="27146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39</xdr:col>
      <xdr:colOff>0</xdr:colOff>
      <xdr:row>36</xdr:row>
      <xdr:rowOff>0</xdr:rowOff>
    </xdr:from>
    <xdr:to>
      <xdr:col>41</xdr:col>
      <xdr:colOff>0</xdr:colOff>
      <xdr:row>37</xdr:row>
      <xdr:rowOff>9525</xdr:rowOff>
    </xdr:to>
    <xdr:pic>
      <xdr:nvPicPr>
        <xdr:cNvPr id="25" name="Combo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1435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0</xdr:colOff>
      <xdr:row>35</xdr:row>
      <xdr:rowOff>0</xdr:rowOff>
    </xdr:from>
    <xdr:to>
      <xdr:col>40</xdr:col>
      <xdr:colOff>180975</xdr:colOff>
      <xdr:row>36</xdr:row>
      <xdr:rowOff>9525</xdr:rowOff>
    </xdr:to>
    <xdr:pic>
      <xdr:nvPicPr>
        <xdr:cNvPr id="26" name="Combo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50006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36</xdr:col>
      <xdr:colOff>0</xdr:colOff>
      <xdr:row>31</xdr:row>
      <xdr:rowOff>0</xdr:rowOff>
    </xdr:from>
    <xdr:to>
      <xdr:col>38</xdr:col>
      <xdr:colOff>0</xdr:colOff>
      <xdr:row>32</xdr:row>
      <xdr:rowOff>9525</xdr:rowOff>
    </xdr:to>
    <xdr:pic>
      <xdr:nvPicPr>
        <xdr:cNvPr id="27" name="Combo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86850" y="44291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32</xdr:row>
      <xdr:rowOff>0</xdr:rowOff>
    </xdr:from>
    <xdr:to>
      <xdr:col>48</xdr:col>
      <xdr:colOff>0</xdr:colOff>
      <xdr:row>33</xdr:row>
      <xdr:rowOff>9525</xdr:rowOff>
    </xdr:to>
    <xdr:pic>
      <xdr:nvPicPr>
        <xdr:cNvPr id="28" name="ComboBox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25350" y="45720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33</xdr:row>
      <xdr:rowOff>0</xdr:rowOff>
    </xdr:from>
    <xdr:to>
      <xdr:col>48</xdr:col>
      <xdr:colOff>0</xdr:colOff>
      <xdr:row>34</xdr:row>
      <xdr:rowOff>9525</xdr:rowOff>
    </xdr:to>
    <xdr:pic>
      <xdr:nvPicPr>
        <xdr:cNvPr id="29" name="ComboBox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25350" y="47148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34</xdr:row>
      <xdr:rowOff>0</xdr:rowOff>
    </xdr:from>
    <xdr:to>
      <xdr:col>48</xdr:col>
      <xdr:colOff>0</xdr:colOff>
      <xdr:row>35</xdr:row>
      <xdr:rowOff>9525</xdr:rowOff>
    </xdr:to>
    <xdr:pic>
      <xdr:nvPicPr>
        <xdr:cNvPr id="30" name="ComboBox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25350" y="48577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35</xdr:row>
      <xdr:rowOff>0</xdr:rowOff>
    </xdr:from>
    <xdr:to>
      <xdr:col>48</xdr:col>
      <xdr:colOff>0</xdr:colOff>
      <xdr:row>36</xdr:row>
      <xdr:rowOff>9525</xdr:rowOff>
    </xdr:to>
    <xdr:pic>
      <xdr:nvPicPr>
        <xdr:cNvPr id="31" name="ComboBox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25350" y="5000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36</xdr:row>
      <xdr:rowOff>0</xdr:rowOff>
    </xdr:from>
    <xdr:to>
      <xdr:col>48</xdr:col>
      <xdr:colOff>0</xdr:colOff>
      <xdr:row>37</xdr:row>
      <xdr:rowOff>9525</xdr:rowOff>
    </xdr:to>
    <xdr:pic>
      <xdr:nvPicPr>
        <xdr:cNvPr id="32" name="ComboBox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25350" y="51435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37</xdr:row>
      <xdr:rowOff>0</xdr:rowOff>
    </xdr:from>
    <xdr:to>
      <xdr:col>48</xdr:col>
      <xdr:colOff>0</xdr:colOff>
      <xdr:row>38</xdr:row>
      <xdr:rowOff>9525</xdr:rowOff>
    </xdr:to>
    <xdr:pic>
      <xdr:nvPicPr>
        <xdr:cNvPr id="33" name="ComboBox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25350" y="5286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38</xdr:row>
      <xdr:rowOff>0</xdr:rowOff>
    </xdr:from>
    <xdr:to>
      <xdr:col>48</xdr:col>
      <xdr:colOff>0</xdr:colOff>
      <xdr:row>39</xdr:row>
      <xdr:rowOff>9525</xdr:rowOff>
    </xdr:to>
    <xdr:pic>
      <xdr:nvPicPr>
        <xdr:cNvPr id="34" name="ComboBox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25350" y="54292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48</xdr:col>
      <xdr:colOff>0</xdr:colOff>
      <xdr:row>31</xdr:row>
      <xdr:rowOff>0</xdr:rowOff>
    </xdr:from>
    <xdr:to>
      <xdr:col>50</xdr:col>
      <xdr:colOff>0</xdr:colOff>
      <xdr:row>32</xdr:row>
      <xdr:rowOff>9525</xdr:rowOff>
    </xdr:to>
    <xdr:pic>
      <xdr:nvPicPr>
        <xdr:cNvPr id="35" name="ComboBox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73050" y="44291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50</xdr:col>
      <xdr:colOff>0</xdr:colOff>
      <xdr:row>51</xdr:row>
      <xdr:rowOff>0</xdr:rowOff>
    </xdr:from>
    <xdr:to>
      <xdr:col>51</xdr:col>
      <xdr:colOff>180975</xdr:colOff>
      <xdr:row>52</xdr:row>
      <xdr:rowOff>9525</xdr:rowOff>
    </xdr:to>
    <xdr:pic>
      <xdr:nvPicPr>
        <xdr:cNvPr id="36" name="ComboBox5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20750" y="72866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50</xdr:col>
      <xdr:colOff>0</xdr:colOff>
      <xdr:row>52</xdr:row>
      <xdr:rowOff>0</xdr:rowOff>
    </xdr:from>
    <xdr:to>
      <xdr:col>52</xdr:col>
      <xdr:colOff>0</xdr:colOff>
      <xdr:row>53</xdr:row>
      <xdr:rowOff>9525</xdr:rowOff>
    </xdr:to>
    <xdr:pic>
      <xdr:nvPicPr>
        <xdr:cNvPr id="37" name="ComboBox5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620750" y="74295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48</xdr:col>
      <xdr:colOff>0</xdr:colOff>
      <xdr:row>50</xdr:row>
      <xdr:rowOff>0</xdr:rowOff>
    </xdr:from>
    <xdr:to>
      <xdr:col>50</xdr:col>
      <xdr:colOff>0</xdr:colOff>
      <xdr:row>51</xdr:row>
      <xdr:rowOff>9525</xdr:rowOff>
    </xdr:to>
    <xdr:pic>
      <xdr:nvPicPr>
        <xdr:cNvPr id="38" name="ComboBox5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973050" y="71437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39</xdr:row>
      <xdr:rowOff>0</xdr:rowOff>
    </xdr:from>
    <xdr:to>
      <xdr:col>48</xdr:col>
      <xdr:colOff>0</xdr:colOff>
      <xdr:row>40</xdr:row>
      <xdr:rowOff>9525</xdr:rowOff>
    </xdr:to>
    <xdr:pic>
      <xdr:nvPicPr>
        <xdr:cNvPr id="39" name="ComboBox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25350" y="55721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40</xdr:row>
      <xdr:rowOff>0</xdr:rowOff>
    </xdr:from>
    <xdr:to>
      <xdr:col>48</xdr:col>
      <xdr:colOff>0</xdr:colOff>
      <xdr:row>41</xdr:row>
      <xdr:rowOff>9525</xdr:rowOff>
    </xdr:to>
    <xdr:pic>
      <xdr:nvPicPr>
        <xdr:cNvPr id="40" name="ComboBox3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25350" y="57150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0</xdr:colOff>
      <xdr:row>41</xdr:row>
      <xdr:rowOff>0</xdr:rowOff>
    </xdr:from>
    <xdr:to>
      <xdr:col>48</xdr:col>
      <xdr:colOff>0</xdr:colOff>
      <xdr:row>42</xdr:row>
      <xdr:rowOff>9525</xdr:rowOff>
    </xdr:to>
    <xdr:pic>
      <xdr:nvPicPr>
        <xdr:cNvPr id="41" name="ComboBox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25350" y="58578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42</xdr:col>
      <xdr:colOff>0</xdr:colOff>
      <xdr:row>31</xdr:row>
      <xdr:rowOff>0</xdr:rowOff>
    </xdr:from>
    <xdr:to>
      <xdr:col>45</xdr:col>
      <xdr:colOff>0</xdr:colOff>
      <xdr:row>32</xdr:row>
      <xdr:rowOff>9525</xdr:rowOff>
    </xdr:to>
    <xdr:pic>
      <xdr:nvPicPr>
        <xdr:cNvPr id="42" name="ComboBox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029950" y="4429125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0</xdr:colOff>
      <xdr:row>37</xdr:row>
      <xdr:rowOff>0</xdr:rowOff>
    </xdr:from>
    <xdr:to>
      <xdr:col>41</xdr:col>
      <xdr:colOff>0</xdr:colOff>
      <xdr:row>38</xdr:row>
      <xdr:rowOff>9525</xdr:rowOff>
    </xdr:to>
    <xdr:pic>
      <xdr:nvPicPr>
        <xdr:cNvPr id="43" name="ComboBox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5286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66675</xdr:colOff>
      <xdr:row>28</xdr:row>
      <xdr:rowOff>19050</xdr:rowOff>
    </xdr:from>
    <xdr:to>
      <xdr:col>4</xdr:col>
      <xdr:colOff>180975</xdr:colOff>
      <xdr:row>28</xdr:row>
      <xdr:rowOff>123825</xdr:rowOff>
    </xdr:to>
    <xdr:sp>
      <xdr:nvSpPr>
        <xdr:cNvPr id="44" name="Oval 165"/>
        <xdr:cNvSpPr>
          <a:spLocks/>
        </xdr:cNvSpPr>
      </xdr:nvSpPr>
      <xdr:spPr>
        <a:xfrm>
          <a:off x="1019175" y="40195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2</a:t>
          </a:r>
        </a:p>
      </xdr:txBody>
    </xdr:sp>
    <xdr:clientData/>
  </xdr:twoCellAnchor>
  <xdr:twoCellAnchor>
    <xdr:from>
      <xdr:col>12</xdr:col>
      <xdr:colOff>66675</xdr:colOff>
      <xdr:row>28</xdr:row>
      <xdr:rowOff>19050</xdr:rowOff>
    </xdr:from>
    <xdr:to>
      <xdr:col>12</xdr:col>
      <xdr:colOff>180975</xdr:colOff>
      <xdr:row>28</xdr:row>
      <xdr:rowOff>123825</xdr:rowOff>
    </xdr:to>
    <xdr:sp>
      <xdr:nvSpPr>
        <xdr:cNvPr id="45" name="Oval 166"/>
        <xdr:cNvSpPr>
          <a:spLocks/>
        </xdr:cNvSpPr>
      </xdr:nvSpPr>
      <xdr:spPr>
        <a:xfrm>
          <a:off x="2924175" y="40195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14</xdr:col>
      <xdr:colOff>66675</xdr:colOff>
      <xdr:row>28</xdr:row>
      <xdr:rowOff>19050</xdr:rowOff>
    </xdr:from>
    <xdr:to>
      <xdr:col>14</xdr:col>
      <xdr:colOff>180975</xdr:colOff>
      <xdr:row>28</xdr:row>
      <xdr:rowOff>123825</xdr:rowOff>
    </xdr:to>
    <xdr:sp>
      <xdr:nvSpPr>
        <xdr:cNvPr id="46" name="Oval 167"/>
        <xdr:cNvSpPr>
          <a:spLocks/>
        </xdr:cNvSpPr>
      </xdr:nvSpPr>
      <xdr:spPr>
        <a:xfrm>
          <a:off x="3400425" y="40195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7</a:t>
          </a:r>
        </a:p>
      </xdr:txBody>
    </xdr:sp>
    <xdr:clientData/>
  </xdr:twoCellAnchor>
  <xdr:twoCellAnchor>
    <xdr:from>
      <xdr:col>8</xdr:col>
      <xdr:colOff>66675</xdr:colOff>
      <xdr:row>32</xdr:row>
      <xdr:rowOff>19050</xdr:rowOff>
    </xdr:from>
    <xdr:to>
      <xdr:col>8</xdr:col>
      <xdr:colOff>180975</xdr:colOff>
      <xdr:row>32</xdr:row>
      <xdr:rowOff>123825</xdr:rowOff>
    </xdr:to>
    <xdr:sp>
      <xdr:nvSpPr>
        <xdr:cNvPr id="47" name="Oval 168"/>
        <xdr:cNvSpPr>
          <a:spLocks/>
        </xdr:cNvSpPr>
      </xdr:nvSpPr>
      <xdr:spPr>
        <a:xfrm>
          <a:off x="1971675" y="45910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12</xdr:col>
      <xdr:colOff>66675</xdr:colOff>
      <xdr:row>32</xdr:row>
      <xdr:rowOff>19050</xdr:rowOff>
    </xdr:from>
    <xdr:to>
      <xdr:col>12</xdr:col>
      <xdr:colOff>180975</xdr:colOff>
      <xdr:row>32</xdr:row>
      <xdr:rowOff>123825</xdr:rowOff>
    </xdr:to>
    <xdr:sp>
      <xdr:nvSpPr>
        <xdr:cNvPr id="48" name="Oval 169"/>
        <xdr:cNvSpPr>
          <a:spLocks/>
        </xdr:cNvSpPr>
      </xdr:nvSpPr>
      <xdr:spPr>
        <a:xfrm>
          <a:off x="2924175" y="45910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3</a:t>
          </a:r>
        </a:p>
      </xdr:txBody>
    </xdr:sp>
    <xdr:clientData/>
  </xdr:twoCellAnchor>
  <xdr:twoCellAnchor>
    <xdr:from>
      <xdr:col>15</xdr:col>
      <xdr:colOff>66675</xdr:colOff>
      <xdr:row>32</xdr:row>
      <xdr:rowOff>19050</xdr:rowOff>
    </xdr:from>
    <xdr:to>
      <xdr:col>15</xdr:col>
      <xdr:colOff>180975</xdr:colOff>
      <xdr:row>32</xdr:row>
      <xdr:rowOff>123825</xdr:rowOff>
    </xdr:to>
    <xdr:sp>
      <xdr:nvSpPr>
        <xdr:cNvPr id="49" name="Oval 170"/>
        <xdr:cNvSpPr>
          <a:spLocks/>
        </xdr:cNvSpPr>
      </xdr:nvSpPr>
      <xdr:spPr>
        <a:xfrm>
          <a:off x="3638550" y="45910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2</a:t>
          </a:r>
        </a:p>
      </xdr:txBody>
    </xdr:sp>
    <xdr:clientData/>
  </xdr:twoCellAnchor>
  <xdr:twoCellAnchor>
    <xdr:from>
      <xdr:col>10</xdr:col>
      <xdr:colOff>47625</xdr:colOff>
      <xdr:row>32</xdr:row>
      <xdr:rowOff>76200</xdr:rowOff>
    </xdr:from>
    <xdr:to>
      <xdr:col>10</xdr:col>
      <xdr:colOff>190500</xdr:colOff>
      <xdr:row>32</xdr:row>
      <xdr:rowOff>76200</xdr:rowOff>
    </xdr:to>
    <xdr:sp>
      <xdr:nvSpPr>
        <xdr:cNvPr id="50" name="Line 171"/>
        <xdr:cNvSpPr>
          <a:spLocks/>
        </xdr:cNvSpPr>
      </xdr:nvSpPr>
      <xdr:spPr>
        <a:xfrm>
          <a:off x="2428875" y="4648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171450</xdr:colOff>
      <xdr:row>32</xdr:row>
      <xdr:rowOff>76200</xdr:rowOff>
    </xdr:from>
    <xdr:to>
      <xdr:col>14</xdr:col>
      <xdr:colOff>76200</xdr:colOff>
      <xdr:row>32</xdr:row>
      <xdr:rowOff>76200</xdr:rowOff>
    </xdr:to>
    <xdr:sp>
      <xdr:nvSpPr>
        <xdr:cNvPr id="51" name="Line 172"/>
        <xdr:cNvSpPr>
          <a:spLocks/>
        </xdr:cNvSpPr>
      </xdr:nvSpPr>
      <xdr:spPr>
        <a:xfrm>
          <a:off x="3267075" y="4648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19050</xdr:rowOff>
    </xdr:from>
    <xdr:to>
      <xdr:col>4</xdr:col>
      <xdr:colOff>180975</xdr:colOff>
      <xdr:row>29</xdr:row>
      <xdr:rowOff>123825</xdr:rowOff>
    </xdr:to>
    <xdr:sp>
      <xdr:nvSpPr>
        <xdr:cNvPr id="52" name="Oval 173"/>
        <xdr:cNvSpPr>
          <a:spLocks/>
        </xdr:cNvSpPr>
      </xdr:nvSpPr>
      <xdr:spPr>
        <a:xfrm>
          <a:off x="1019175" y="416242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3</a:t>
          </a:r>
        </a:p>
      </xdr:txBody>
    </xdr:sp>
    <xdr:clientData/>
  </xdr:twoCellAnchor>
  <xdr:twoCellAnchor>
    <xdr:from>
      <xdr:col>10</xdr:col>
      <xdr:colOff>66675</xdr:colOff>
      <xdr:row>29</xdr:row>
      <xdr:rowOff>19050</xdr:rowOff>
    </xdr:from>
    <xdr:to>
      <xdr:col>10</xdr:col>
      <xdr:colOff>180975</xdr:colOff>
      <xdr:row>29</xdr:row>
      <xdr:rowOff>123825</xdr:rowOff>
    </xdr:to>
    <xdr:sp>
      <xdr:nvSpPr>
        <xdr:cNvPr id="53" name="Oval 174"/>
        <xdr:cNvSpPr>
          <a:spLocks/>
        </xdr:cNvSpPr>
      </xdr:nvSpPr>
      <xdr:spPr>
        <a:xfrm>
          <a:off x="2447925" y="416242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0</xdr:colOff>
      <xdr:row>22</xdr:row>
      <xdr:rowOff>0</xdr:rowOff>
    </xdr:to>
    <xdr:sp>
      <xdr:nvSpPr>
        <xdr:cNvPr id="54" name="Line 175"/>
        <xdr:cNvSpPr>
          <a:spLocks/>
        </xdr:cNvSpPr>
      </xdr:nvSpPr>
      <xdr:spPr>
        <a:xfrm>
          <a:off x="5476875" y="185737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22</xdr:row>
      <xdr:rowOff>0</xdr:rowOff>
    </xdr:to>
    <xdr:sp>
      <xdr:nvSpPr>
        <xdr:cNvPr id="55" name="Line 176"/>
        <xdr:cNvSpPr>
          <a:spLocks/>
        </xdr:cNvSpPr>
      </xdr:nvSpPr>
      <xdr:spPr>
        <a:xfrm>
          <a:off x="4048125" y="2714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180975</xdr:colOff>
      <xdr:row>18</xdr:row>
      <xdr:rowOff>66675</xdr:rowOff>
    </xdr:from>
    <xdr:to>
      <xdr:col>17</xdr:col>
      <xdr:colOff>57150</xdr:colOff>
      <xdr:row>19</xdr:row>
      <xdr:rowOff>38100</xdr:rowOff>
    </xdr:to>
    <xdr:sp>
      <xdr:nvSpPr>
        <xdr:cNvPr id="56" name="Oval 178"/>
        <xdr:cNvSpPr>
          <a:spLocks/>
        </xdr:cNvSpPr>
      </xdr:nvSpPr>
      <xdr:spPr>
        <a:xfrm>
          <a:off x="3990975" y="26384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2</a:t>
          </a:r>
        </a:p>
      </xdr:txBody>
    </xdr:sp>
    <xdr:clientData/>
  </xdr:twoCellAnchor>
  <xdr:twoCellAnchor>
    <xdr:from>
      <xdr:col>19</xdr:col>
      <xdr:colOff>200025</xdr:colOff>
      <xdr:row>17</xdr:row>
      <xdr:rowOff>0</xdr:rowOff>
    </xdr:from>
    <xdr:to>
      <xdr:col>19</xdr:col>
      <xdr:colOff>200025</xdr:colOff>
      <xdr:row>22</xdr:row>
      <xdr:rowOff>0</xdr:rowOff>
    </xdr:to>
    <xdr:sp>
      <xdr:nvSpPr>
        <xdr:cNvPr id="57" name="Line 179"/>
        <xdr:cNvSpPr>
          <a:spLocks/>
        </xdr:cNvSpPr>
      </xdr:nvSpPr>
      <xdr:spPr>
        <a:xfrm>
          <a:off x="4724400" y="24288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142875</xdr:colOff>
      <xdr:row>13</xdr:row>
      <xdr:rowOff>0</xdr:rowOff>
    </xdr:from>
    <xdr:to>
      <xdr:col>21</xdr:col>
      <xdr:colOff>142875</xdr:colOff>
      <xdr:row>22</xdr:row>
      <xdr:rowOff>0</xdr:rowOff>
    </xdr:to>
    <xdr:sp>
      <xdr:nvSpPr>
        <xdr:cNvPr id="58" name="Line 181"/>
        <xdr:cNvSpPr>
          <a:spLocks/>
        </xdr:cNvSpPr>
      </xdr:nvSpPr>
      <xdr:spPr>
        <a:xfrm>
          <a:off x="5143500" y="185737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142875</xdr:colOff>
      <xdr:row>13</xdr:row>
      <xdr:rowOff>0</xdr:rowOff>
    </xdr:from>
    <xdr:to>
      <xdr:col>23</xdr:col>
      <xdr:colOff>0</xdr:colOff>
      <xdr:row>13</xdr:row>
      <xdr:rowOff>0</xdr:rowOff>
    </xdr:to>
    <xdr:sp>
      <xdr:nvSpPr>
        <xdr:cNvPr id="59" name="Line 182"/>
        <xdr:cNvSpPr>
          <a:spLocks/>
        </xdr:cNvSpPr>
      </xdr:nvSpPr>
      <xdr:spPr>
        <a:xfrm>
          <a:off x="5143500" y="1857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0</xdr:colOff>
      <xdr:row>16</xdr:row>
      <xdr:rowOff>85725</xdr:rowOff>
    </xdr:from>
    <xdr:to>
      <xdr:col>24</xdr:col>
      <xdr:colOff>0</xdr:colOff>
      <xdr:row>16</xdr:row>
      <xdr:rowOff>85725</xdr:rowOff>
    </xdr:to>
    <xdr:sp>
      <xdr:nvSpPr>
        <xdr:cNvPr id="60" name="Line 184"/>
        <xdr:cNvSpPr>
          <a:spLocks/>
        </xdr:cNvSpPr>
      </xdr:nvSpPr>
      <xdr:spPr>
        <a:xfrm>
          <a:off x="4762500" y="23717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133350</xdr:colOff>
      <xdr:row>16</xdr:row>
      <xdr:rowOff>28575</xdr:rowOff>
    </xdr:from>
    <xdr:to>
      <xdr:col>20</xdr:col>
      <xdr:colOff>9525</xdr:colOff>
      <xdr:row>17</xdr:row>
      <xdr:rowOff>0</xdr:rowOff>
    </xdr:to>
    <xdr:sp>
      <xdr:nvSpPr>
        <xdr:cNvPr id="61" name="Oval 185"/>
        <xdr:cNvSpPr>
          <a:spLocks/>
        </xdr:cNvSpPr>
      </xdr:nvSpPr>
      <xdr:spPr>
        <a:xfrm>
          <a:off x="4657725" y="23145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3</a:t>
          </a:r>
        </a:p>
      </xdr:txBody>
    </xdr:sp>
    <xdr:clientData/>
  </xdr:twoCellAnchor>
  <xdr:twoCellAnchor>
    <xdr:from>
      <xdr:col>19</xdr:col>
      <xdr:colOff>228600</xdr:colOff>
      <xdr:row>13</xdr:row>
      <xdr:rowOff>0</xdr:rowOff>
    </xdr:from>
    <xdr:to>
      <xdr:col>23</xdr:col>
      <xdr:colOff>0</xdr:colOff>
      <xdr:row>16</xdr:row>
      <xdr:rowOff>57150</xdr:rowOff>
    </xdr:to>
    <xdr:sp>
      <xdr:nvSpPr>
        <xdr:cNvPr id="62" name="AutoShape 186"/>
        <xdr:cNvSpPr>
          <a:spLocks/>
        </xdr:cNvSpPr>
      </xdr:nvSpPr>
      <xdr:spPr>
        <a:xfrm>
          <a:off x="4752975" y="1857375"/>
          <a:ext cx="723900" cy="485775"/>
        </a:xfrm>
        <a:custGeom>
          <a:pathLst>
            <a:path h="50" w="74">
              <a:moveTo>
                <a:pt x="74" y="0"/>
              </a:moveTo>
              <a:cubicBezTo>
                <a:pt x="64" y="2"/>
                <a:pt x="54" y="5"/>
                <a:pt x="42" y="13"/>
              </a:cubicBezTo>
              <a:cubicBezTo>
                <a:pt x="30" y="21"/>
                <a:pt x="15" y="35"/>
                <a:pt x="0" y="5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22</xdr:col>
      <xdr:colOff>180975</xdr:colOff>
      <xdr:row>12</xdr:row>
      <xdr:rowOff>85725</xdr:rowOff>
    </xdr:from>
    <xdr:to>
      <xdr:col>23</xdr:col>
      <xdr:colOff>57150</xdr:colOff>
      <xdr:row>13</xdr:row>
      <xdr:rowOff>57150</xdr:rowOff>
    </xdr:to>
    <xdr:sp>
      <xdr:nvSpPr>
        <xdr:cNvPr id="63" name="Oval 187"/>
        <xdr:cNvSpPr>
          <a:spLocks/>
        </xdr:cNvSpPr>
      </xdr:nvSpPr>
      <xdr:spPr>
        <a:xfrm>
          <a:off x="5419725" y="18002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21</xdr:col>
      <xdr:colOff>85725</xdr:colOff>
      <xdr:row>12</xdr:row>
      <xdr:rowOff>76200</xdr:rowOff>
    </xdr:from>
    <xdr:to>
      <xdr:col>21</xdr:col>
      <xdr:colOff>200025</xdr:colOff>
      <xdr:row>13</xdr:row>
      <xdr:rowOff>47625</xdr:rowOff>
    </xdr:to>
    <xdr:sp>
      <xdr:nvSpPr>
        <xdr:cNvPr id="64" name="Oval 188"/>
        <xdr:cNvSpPr>
          <a:spLocks/>
        </xdr:cNvSpPr>
      </xdr:nvSpPr>
      <xdr:spPr>
        <a:xfrm>
          <a:off x="5086350" y="17907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4</a:t>
          </a:r>
        </a:p>
      </xdr:txBody>
    </xdr:sp>
    <xdr:clientData/>
  </xdr:twoCellAnchor>
  <xdr:twoCellAnchor>
    <xdr:from>
      <xdr:col>8</xdr:col>
      <xdr:colOff>66675</xdr:colOff>
      <xdr:row>30</xdr:row>
      <xdr:rowOff>19050</xdr:rowOff>
    </xdr:from>
    <xdr:to>
      <xdr:col>8</xdr:col>
      <xdr:colOff>180975</xdr:colOff>
      <xdr:row>30</xdr:row>
      <xdr:rowOff>123825</xdr:rowOff>
    </xdr:to>
    <xdr:sp>
      <xdr:nvSpPr>
        <xdr:cNvPr id="65" name="Oval 189"/>
        <xdr:cNvSpPr>
          <a:spLocks/>
        </xdr:cNvSpPr>
      </xdr:nvSpPr>
      <xdr:spPr>
        <a:xfrm>
          <a:off x="1971675" y="43053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12</xdr:col>
      <xdr:colOff>66675</xdr:colOff>
      <xdr:row>30</xdr:row>
      <xdr:rowOff>19050</xdr:rowOff>
    </xdr:from>
    <xdr:to>
      <xdr:col>12</xdr:col>
      <xdr:colOff>180975</xdr:colOff>
      <xdr:row>30</xdr:row>
      <xdr:rowOff>123825</xdr:rowOff>
    </xdr:to>
    <xdr:sp>
      <xdr:nvSpPr>
        <xdr:cNvPr id="66" name="Oval 190"/>
        <xdr:cNvSpPr>
          <a:spLocks/>
        </xdr:cNvSpPr>
      </xdr:nvSpPr>
      <xdr:spPr>
        <a:xfrm>
          <a:off x="2924175" y="43053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4</a:t>
          </a:r>
        </a:p>
      </xdr:txBody>
    </xdr:sp>
    <xdr:clientData/>
  </xdr:twoCellAnchor>
  <xdr:twoCellAnchor>
    <xdr:from>
      <xdr:col>15</xdr:col>
      <xdr:colOff>66675</xdr:colOff>
      <xdr:row>30</xdr:row>
      <xdr:rowOff>19050</xdr:rowOff>
    </xdr:from>
    <xdr:to>
      <xdr:col>15</xdr:col>
      <xdr:colOff>180975</xdr:colOff>
      <xdr:row>30</xdr:row>
      <xdr:rowOff>123825</xdr:rowOff>
    </xdr:to>
    <xdr:sp>
      <xdr:nvSpPr>
        <xdr:cNvPr id="67" name="Oval 191"/>
        <xdr:cNvSpPr>
          <a:spLocks/>
        </xdr:cNvSpPr>
      </xdr:nvSpPr>
      <xdr:spPr>
        <a:xfrm>
          <a:off x="3638550" y="43053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2</a:t>
          </a:r>
        </a:p>
      </xdr:txBody>
    </xdr:sp>
    <xdr:clientData/>
  </xdr:twoCellAnchor>
  <xdr:twoCellAnchor>
    <xdr:from>
      <xdr:col>10</xdr:col>
      <xdr:colOff>47625</xdr:colOff>
      <xdr:row>30</xdr:row>
      <xdr:rowOff>76200</xdr:rowOff>
    </xdr:from>
    <xdr:to>
      <xdr:col>10</xdr:col>
      <xdr:colOff>190500</xdr:colOff>
      <xdr:row>30</xdr:row>
      <xdr:rowOff>76200</xdr:rowOff>
    </xdr:to>
    <xdr:sp>
      <xdr:nvSpPr>
        <xdr:cNvPr id="68" name="Line 192"/>
        <xdr:cNvSpPr>
          <a:spLocks/>
        </xdr:cNvSpPr>
      </xdr:nvSpPr>
      <xdr:spPr>
        <a:xfrm>
          <a:off x="2428875" y="4362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171450</xdr:colOff>
      <xdr:row>30</xdr:row>
      <xdr:rowOff>76200</xdr:rowOff>
    </xdr:from>
    <xdr:to>
      <xdr:col>14</xdr:col>
      <xdr:colOff>76200</xdr:colOff>
      <xdr:row>30</xdr:row>
      <xdr:rowOff>76200</xdr:rowOff>
    </xdr:to>
    <xdr:sp>
      <xdr:nvSpPr>
        <xdr:cNvPr id="69" name="Line 193"/>
        <xdr:cNvSpPr>
          <a:spLocks/>
        </xdr:cNvSpPr>
      </xdr:nvSpPr>
      <xdr:spPr>
        <a:xfrm>
          <a:off x="3267075" y="4362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27</xdr:row>
      <xdr:rowOff>19050</xdr:rowOff>
    </xdr:from>
    <xdr:to>
      <xdr:col>4</xdr:col>
      <xdr:colOff>180975</xdr:colOff>
      <xdr:row>27</xdr:row>
      <xdr:rowOff>123825</xdr:rowOff>
    </xdr:to>
    <xdr:sp>
      <xdr:nvSpPr>
        <xdr:cNvPr id="70" name="Oval 194"/>
        <xdr:cNvSpPr>
          <a:spLocks/>
        </xdr:cNvSpPr>
      </xdr:nvSpPr>
      <xdr:spPr>
        <a:xfrm>
          <a:off x="1019175" y="387667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7</a:t>
          </a:r>
        </a:p>
      </xdr:txBody>
    </xdr:sp>
    <xdr:clientData/>
  </xdr:twoCellAnchor>
  <xdr:twoCellAnchor>
    <xdr:from>
      <xdr:col>36</xdr:col>
      <xdr:colOff>180975</xdr:colOff>
      <xdr:row>24</xdr:row>
      <xdr:rowOff>0</xdr:rowOff>
    </xdr:from>
    <xdr:to>
      <xdr:col>36</xdr:col>
      <xdr:colOff>180975</xdr:colOff>
      <xdr:row>35</xdr:row>
      <xdr:rowOff>0</xdr:rowOff>
    </xdr:to>
    <xdr:sp>
      <xdr:nvSpPr>
        <xdr:cNvPr id="71" name="Line 195"/>
        <xdr:cNvSpPr>
          <a:spLocks/>
        </xdr:cNvSpPr>
      </xdr:nvSpPr>
      <xdr:spPr>
        <a:xfrm>
          <a:off x="9267825" y="3429000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35</xdr:col>
      <xdr:colOff>200025</xdr:colOff>
      <xdr:row>22</xdr:row>
      <xdr:rowOff>19050</xdr:rowOff>
    </xdr:from>
    <xdr:to>
      <xdr:col>35</xdr:col>
      <xdr:colOff>314325</xdr:colOff>
      <xdr:row>22</xdr:row>
      <xdr:rowOff>123825</xdr:rowOff>
    </xdr:to>
    <xdr:sp>
      <xdr:nvSpPr>
        <xdr:cNvPr id="72" name="Oval 198"/>
        <xdr:cNvSpPr>
          <a:spLocks/>
        </xdr:cNvSpPr>
      </xdr:nvSpPr>
      <xdr:spPr>
        <a:xfrm>
          <a:off x="8963025" y="31623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2</a:t>
          </a:r>
        </a:p>
      </xdr:txBody>
    </xdr:sp>
    <xdr:clientData/>
  </xdr:twoCellAnchor>
  <xdr:twoCellAnchor>
    <xdr:from>
      <xdr:col>37</xdr:col>
      <xdr:colOff>200025</xdr:colOff>
      <xdr:row>22</xdr:row>
      <xdr:rowOff>19050</xdr:rowOff>
    </xdr:from>
    <xdr:to>
      <xdr:col>37</xdr:col>
      <xdr:colOff>314325</xdr:colOff>
      <xdr:row>22</xdr:row>
      <xdr:rowOff>123825</xdr:rowOff>
    </xdr:to>
    <xdr:sp>
      <xdr:nvSpPr>
        <xdr:cNvPr id="73" name="Oval 199"/>
        <xdr:cNvSpPr>
          <a:spLocks/>
        </xdr:cNvSpPr>
      </xdr:nvSpPr>
      <xdr:spPr>
        <a:xfrm>
          <a:off x="9610725" y="31623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7467600" y="428625"/>
          <a:ext cx="647700" cy="1428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38100</xdr:rowOff>
    </xdr:from>
    <xdr:to>
      <xdr:col>33</xdr:col>
      <xdr:colOff>238125</xdr:colOff>
      <xdr:row>4</xdr:row>
      <xdr:rowOff>0</xdr:rowOff>
    </xdr:to>
    <xdr:sp>
      <xdr:nvSpPr>
        <xdr:cNvPr id="2" name="AutoShape 11"/>
        <xdr:cNvSpPr>
          <a:spLocks/>
        </xdr:cNvSpPr>
      </xdr:nvSpPr>
      <xdr:spPr>
        <a:xfrm>
          <a:off x="8115300" y="323850"/>
          <a:ext cx="2381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es.co.kr/" TargetMode="External" /><Relationship Id="rId2" Type="http://schemas.openxmlformats.org/officeDocument/2006/relationships/hyperlink" Target="mailto:ntes@ntes.co.k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63"/>
  <sheetViews>
    <sheetView view="pageBreakPreview" zoomScaleSheetLayoutView="100" workbookViewId="0" topLeftCell="A1">
      <selection activeCell="S3" sqref="S3"/>
    </sheetView>
  </sheetViews>
  <sheetFormatPr defaultColWidth="8.88671875" defaultRowHeight="13.5"/>
  <cols>
    <col min="1" max="52" width="3.77734375" style="1" customWidth="1"/>
    <col min="53" max="16384" width="8.88671875" style="1" customWidth="1"/>
  </cols>
  <sheetData>
    <row r="1" spans="1:21" ht="11.2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15</v>
      </c>
      <c r="P1" s="5"/>
      <c r="Q1" s="191" t="s">
        <v>30</v>
      </c>
      <c r="R1" s="191"/>
      <c r="S1" s="191"/>
      <c r="T1" s="191"/>
      <c r="U1" s="5"/>
    </row>
    <row r="2" spans="1:21" ht="11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8"/>
      <c r="R2" s="8"/>
      <c r="S2" s="8"/>
      <c r="T2" s="8"/>
      <c r="U2" s="9"/>
    </row>
    <row r="3" spans="1:21" ht="11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9"/>
      <c r="P3" s="9"/>
      <c r="Q3" s="10"/>
      <c r="R3" s="10"/>
      <c r="S3" s="10"/>
      <c r="T3" s="10"/>
      <c r="U3" s="9"/>
    </row>
    <row r="4" spans="1:21" ht="11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1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1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1.25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1.25" customHeight="1">
      <c r="A10" s="9"/>
      <c r="B10" s="9"/>
      <c r="C10" s="9"/>
      <c r="D10" s="9"/>
      <c r="E10" s="9"/>
      <c r="F10" s="188" t="s">
        <v>31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9"/>
      <c r="Q10" s="9"/>
      <c r="R10" s="9"/>
      <c r="S10" s="9"/>
      <c r="T10" s="9"/>
      <c r="U10" s="9"/>
    </row>
    <row r="11" spans="1:21" ht="11.25" customHeight="1">
      <c r="A11" s="9"/>
      <c r="B11" s="9"/>
      <c r="C11" s="9"/>
      <c r="D11" s="9"/>
      <c r="E11" s="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9"/>
      <c r="Q11" s="9"/>
      <c r="R11" s="9"/>
      <c r="S11" s="9"/>
      <c r="T11" s="9"/>
      <c r="U11" s="9"/>
    </row>
    <row r="12" spans="1:21" ht="11.25" customHeight="1">
      <c r="A12" s="9"/>
      <c r="B12" s="9"/>
      <c r="C12" s="9"/>
      <c r="D12" s="9"/>
      <c r="E12" s="9"/>
      <c r="F12" s="189" t="s">
        <v>32</v>
      </c>
      <c r="G12" s="189"/>
      <c r="H12" s="189"/>
      <c r="I12" s="189"/>
      <c r="J12" s="189"/>
      <c r="K12" s="189"/>
      <c r="L12" s="189"/>
      <c r="M12" s="189"/>
      <c r="N12" s="189"/>
      <c r="O12" s="189"/>
      <c r="P12" s="9"/>
      <c r="Q12" s="9"/>
      <c r="R12" s="9"/>
      <c r="S12" s="9"/>
      <c r="T12" s="9"/>
      <c r="U12" s="9"/>
    </row>
    <row r="13" spans="1:21" ht="11.25" customHeight="1" thickBot="1">
      <c r="A13" s="9"/>
      <c r="B13" s="9"/>
      <c r="C13" s="9"/>
      <c r="D13" s="9"/>
      <c r="E13" s="9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9"/>
      <c r="Q13" s="9"/>
      <c r="R13" s="9"/>
      <c r="S13" s="9"/>
      <c r="T13" s="9"/>
      <c r="U13" s="9"/>
    </row>
    <row r="14" spans="1:21" ht="11.25" customHeight="1">
      <c r="A14" s="9"/>
      <c r="B14" s="9"/>
      <c r="C14" s="9"/>
      <c r="D14" s="9"/>
      <c r="E14" s="9"/>
      <c r="F14" s="9"/>
      <c r="G14" s="11"/>
      <c r="H14" s="11"/>
      <c r="I14" s="11"/>
      <c r="J14" s="11"/>
      <c r="K14" s="11"/>
      <c r="L14" s="11"/>
      <c r="M14" s="11"/>
      <c r="N14" s="11"/>
      <c r="O14" s="9"/>
      <c r="P14" s="9"/>
      <c r="Q14" s="9"/>
      <c r="R14" s="9"/>
      <c r="S14" s="9"/>
      <c r="T14" s="9"/>
      <c r="U14" s="9"/>
    </row>
    <row r="15" spans="1:21" ht="11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1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1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1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1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1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1.25" customHeight="1">
      <c r="A21" s="9"/>
      <c r="B21" s="9"/>
      <c r="C21" s="9"/>
      <c r="D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1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1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1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1.25" customHeight="1">
      <c r="A25" s="9"/>
      <c r="B25" s="9"/>
      <c r="C25" s="9"/>
      <c r="D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1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1.25" customHeight="1">
      <c r="A27" s="9"/>
      <c r="B27" s="9"/>
      <c r="C27" s="9"/>
      <c r="D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1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1.25" customHeight="1">
      <c r="A29" s="9"/>
      <c r="B29" s="9"/>
      <c r="C29" s="9"/>
      <c r="D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1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1.25" customHeight="1">
      <c r="A31" s="9"/>
      <c r="B31" s="9"/>
      <c r="C31" s="9"/>
      <c r="D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1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1.25" customHeight="1">
      <c r="A33" s="9"/>
      <c r="B33" s="9"/>
      <c r="C33" s="9"/>
      <c r="D33" s="9"/>
      <c r="E33" s="9"/>
      <c r="F33" s="9"/>
      <c r="G33" s="9"/>
      <c r="I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1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1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1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1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1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1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1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1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1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4" t="s">
        <v>34</v>
      </c>
      <c r="P42" s="54">
        <f>sheetqty+2</f>
        <v>6</v>
      </c>
      <c r="Q42" s="9" t="s">
        <v>35</v>
      </c>
      <c r="R42" s="9"/>
      <c r="S42" s="9"/>
      <c r="T42" s="9"/>
      <c r="U42" s="9"/>
    </row>
    <row r="43" spans="1:21" ht="11.25" customHeight="1">
      <c r="A43" s="12">
        <v>5</v>
      </c>
      <c r="B43" s="197"/>
      <c r="C43" s="198"/>
      <c r="D43" s="13"/>
      <c r="E43" s="13"/>
      <c r="F43" s="13"/>
      <c r="G43" s="13"/>
      <c r="H43" s="13"/>
      <c r="I43" s="13"/>
      <c r="J43" s="13"/>
      <c r="K43" s="13"/>
      <c r="L43" s="13"/>
      <c r="M43" s="199"/>
      <c r="N43" s="200"/>
      <c r="O43" s="201"/>
      <c r="P43" s="200"/>
      <c r="Q43" s="201"/>
      <c r="R43" s="200"/>
      <c r="S43" s="199"/>
      <c r="T43" s="199"/>
      <c r="U43" s="9"/>
    </row>
    <row r="44" spans="1:21" ht="11.25" customHeight="1">
      <c r="A44" s="14">
        <v>4</v>
      </c>
      <c r="B44" s="192"/>
      <c r="C44" s="193"/>
      <c r="D44" s="15"/>
      <c r="E44" s="15"/>
      <c r="F44" s="15"/>
      <c r="G44" s="15"/>
      <c r="H44" s="15"/>
      <c r="I44" s="15"/>
      <c r="J44" s="15"/>
      <c r="K44" s="15"/>
      <c r="L44" s="15"/>
      <c r="M44" s="196"/>
      <c r="N44" s="195"/>
      <c r="O44" s="194"/>
      <c r="P44" s="195"/>
      <c r="Q44" s="194"/>
      <c r="R44" s="195"/>
      <c r="S44" s="196"/>
      <c r="T44" s="196"/>
      <c r="U44" s="9"/>
    </row>
    <row r="45" spans="1:21" ht="11.25" customHeight="1">
      <c r="A45" s="14">
        <v>3</v>
      </c>
      <c r="B45" s="192"/>
      <c r="C45" s="193"/>
      <c r="D45" s="15"/>
      <c r="E45" s="15"/>
      <c r="F45" s="15"/>
      <c r="G45" s="15"/>
      <c r="H45" s="15"/>
      <c r="I45" s="15"/>
      <c r="J45" s="15"/>
      <c r="K45" s="15"/>
      <c r="L45" s="15"/>
      <c r="M45" s="196"/>
      <c r="N45" s="195"/>
      <c r="O45" s="194"/>
      <c r="P45" s="195"/>
      <c r="Q45" s="194"/>
      <c r="R45" s="195"/>
      <c r="S45" s="196"/>
      <c r="T45" s="196"/>
      <c r="U45" s="9"/>
    </row>
    <row r="46" spans="1:21" ht="11.25" customHeight="1">
      <c r="A46" s="14">
        <v>2</v>
      </c>
      <c r="B46" s="192"/>
      <c r="C46" s="193"/>
      <c r="D46" s="15"/>
      <c r="E46" s="15"/>
      <c r="F46" s="15"/>
      <c r="G46" s="15"/>
      <c r="H46" s="15"/>
      <c r="I46" s="15"/>
      <c r="J46" s="15"/>
      <c r="K46" s="15"/>
      <c r="L46" s="15"/>
      <c r="M46" s="196"/>
      <c r="N46" s="195"/>
      <c r="O46" s="194"/>
      <c r="P46" s="195"/>
      <c r="Q46" s="194"/>
      <c r="R46" s="195"/>
      <c r="S46" s="196"/>
      <c r="T46" s="196"/>
      <c r="U46" s="9"/>
    </row>
    <row r="47" spans="1:21" ht="11.25" customHeight="1">
      <c r="A47" s="14">
        <v>1</v>
      </c>
      <c r="B47" s="192" t="s">
        <v>220</v>
      </c>
      <c r="C47" s="193"/>
      <c r="D47" s="15" t="s">
        <v>221</v>
      </c>
      <c r="E47" s="15"/>
      <c r="F47" s="15"/>
      <c r="G47" s="15"/>
      <c r="H47" s="15"/>
      <c r="I47" s="15"/>
      <c r="J47" s="15"/>
      <c r="K47" s="15"/>
      <c r="L47" s="15"/>
      <c r="M47" s="196"/>
      <c r="N47" s="195"/>
      <c r="O47" s="194" t="str">
        <f>O48</f>
        <v>S. J. Lee</v>
      </c>
      <c r="P47" s="195"/>
      <c r="Q47" s="194" t="str">
        <f>Q48</f>
        <v>LSJ</v>
      </c>
      <c r="R47" s="195"/>
      <c r="S47" s="196" t="str">
        <f>S48</f>
        <v>Lee</v>
      </c>
      <c r="T47" s="196"/>
      <c r="U47" s="9"/>
    </row>
    <row r="48" spans="1:21" ht="11.25" customHeight="1">
      <c r="A48" s="14">
        <v>0</v>
      </c>
      <c r="B48" s="192" t="s">
        <v>222</v>
      </c>
      <c r="C48" s="193"/>
      <c r="D48" s="15" t="s">
        <v>219</v>
      </c>
      <c r="E48" s="15"/>
      <c r="F48" s="15"/>
      <c r="G48" s="15"/>
      <c r="H48" s="15"/>
      <c r="I48" s="15"/>
      <c r="J48" s="15"/>
      <c r="K48" s="15"/>
      <c r="L48" s="15"/>
      <c r="M48" s="196"/>
      <c r="N48" s="195"/>
      <c r="O48" s="194" t="s">
        <v>11</v>
      </c>
      <c r="P48" s="195"/>
      <c r="Q48" s="194" t="s">
        <v>0</v>
      </c>
      <c r="R48" s="195"/>
      <c r="S48" s="196" t="s">
        <v>7</v>
      </c>
      <c r="T48" s="196"/>
      <c r="U48" s="9"/>
    </row>
    <row r="49" spans="1:21" ht="11.25" customHeight="1">
      <c r="A49" s="179" t="s">
        <v>1</v>
      </c>
      <c r="B49" s="202" t="s">
        <v>2</v>
      </c>
      <c r="C49" s="202"/>
      <c r="D49" s="184" t="s">
        <v>3</v>
      </c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202" t="s">
        <v>4</v>
      </c>
      <c r="P49" s="202"/>
      <c r="Q49" s="202" t="s">
        <v>5</v>
      </c>
      <c r="R49" s="202"/>
      <c r="S49" s="202" t="s">
        <v>6</v>
      </c>
      <c r="T49" s="184"/>
      <c r="U49" s="9"/>
    </row>
    <row r="50" spans="1:21" ht="11.25" customHeight="1">
      <c r="A50" s="180"/>
      <c r="B50" s="183"/>
      <c r="C50" s="183"/>
      <c r="D50" s="181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183"/>
      <c r="P50" s="183"/>
      <c r="Q50" s="183"/>
      <c r="R50" s="183"/>
      <c r="S50" s="183"/>
      <c r="T50" s="181"/>
      <c r="U50" s="9"/>
    </row>
    <row r="51" spans="1:21" ht="11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1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1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9"/>
    </row>
    <row r="54" spans="1:21" ht="11.25" customHeight="1">
      <c r="A54" s="182" t="s">
        <v>33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9"/>
    </row>
    <row r="55" spans="1:21" ht="11.25" customHeight="1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9"/>
    </row>
    <row r="56" spans="1:20" ht="11.25" customHeight="1">
      <c r="A56" s="178" t="s">
        <v>16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</row>
    <row r="57" spans="1:20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</row>
    <row r="58" spans="1:20" ht="11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ht="11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11.25" customHeight="1">
      <c r="A60" s="9"/>
      <c r="B60" s="9" t="s">
        <v>12</v>
      </c>
      <c r="C60" s="9"/>
      <c r="D60" s="17" t="s">
        <v>8</v>
      </c>
      <c r="E60" s="9"/>
      <c r="F60" s="9"/>
      <c r="G60" s="9"/>
      <c r="H60" s="9"/>
      <c r="I60" s="9"/>
      <c r="J60" s="16"/>
      <c r="K60" s="16"/>
      <c r="L60" s="16"/>
      <c r="M60" s="9"/>
      <c r="N60" s="16"/>
      <c r="O60" s="9" t="s">
        <v>13</v>
      </c>
      <c r="P60" s="9"/>
      <c r="Q60" s="17" t="s">
        <v>9</v>
      </c>
      <c r="R60" s="9"/>
      <c r="S60" s="9"/>
      <c r="T60" s="9"/>
    </row>
    <row r="61" spans="1:20" ht="11.25" customHeight="1">
      <c r="A61" s="9"/>
      <c r="E61" s="9"/>
      <c r="F61" s="9"/>
      <c r="G61" s="9"/>
      <c r="H61" s="9"/>
      <c r="I61" s="9"/>
      <c r="J61" s="9"/>
      <c r="K61" s="9"/>
      <c r="L61" s="9"/>
      <c r="M61" s="9"/>
      <c r="N61" s="9"/>
      <c r="R61" s="9"/>
      <c r="S61" s="9"/>
      <c r="T61" s="9"/>
    </row>
    <row r="62" spans="1:20" ht="11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1.25" customHeight="1">
      <c r="A63" s="2" t="s">
        <v>10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3" t="s">
        <v>14</v>
      </c>
    </row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</sheetData>
  <mergeCells count="41">
    <mergeCell ref="A54:T55"/>
    <mergeCell ref="A56:T57"/>
    <mergeCell ref="S43:T43"/>
    <mergeCell ref="M44:N44"/>
    <mergeCell ref="M45:N45"/>
    <mergeCell ref="M46:N46"/>
    <mergeCell ref="A49:A50"/>
    <mergeCell ref="B49:C50"/>
    <mergeCell ref="D49:N50"/>
    <mergeCell ref="O49:P50"/>
    <mergeCell ref="Q49:R50"/>
    <mergeCell ref="S49:T50"/>
    <mergeCell ref="B48:C48"/>
    <mergeCell ref="O48:P48"/>
    <mergeCell ref="Q48:R48"/>
    <mergeCell ref="S48:T48"/>
    <mergeCell ref="M48:N48"/>
    <mergeCell ref="B47:C47"/>
    <mergeCell ref="O47:P47"/>
    <mergeCell ref="Q47:R47"/>
    <mergeCell ref="S47:T47"/>
    <mergeCell ref="M47:N47"/>
    <mergeCell ref="S45:T45"/>
    <mergeCell ref="B46:C46"/>
    <mergeCell ref="O46:P46"/>
    <mergeCell ref="Q46:R46"/>
    <mergeCell ref="S46:T46"/>
    <mergeCell ref="Q43:R43"/>
    <mergeCell ref="B45:C45"/>
    <mergeCell ref="O45:P45"/>
    <mergeCell ref="Q45:R45"/>
    <mergeCell ref="F10:O11"/>
    <mergeCell ref="F12:O13"/>
    <mergeCell ref="Q1:T1"/>
    <mergeCell ref="B44:C44"/>
    <mergeCell ref="O44:P44"/>
    <mergeCell ref="Q44:R44"/>
    <mergeCell ref="S44:T44"/>
    <mergeCell ref="B43:C43"/>
    <mergeCell ref="M43:N43"/>
    <mergeCell ref="O43:P43"/>
  </mergeCells>
  <hyperlinks>
    <hyperlink ref="D60" r:id="rId1" display="www.ntes.co.kr"/>
    <hyperlink ref="Q60" r:id="rId2" display="ntes@ntes.co.kr"/>
  </hyperlinks>
  <printOptions/>
  <pageMargins left="0.9448818897637796" right="0.3937007874015748" top="0.7874015748031497" bottom="0.3937007874015748" header="0.5118110236220472" footer="0.5118110236220472"/>
  <pageSetup horizontalDpi="1200" verticalDpi="12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63"/>
  <sheetViews>
    <sheetView view="pageBreakPreview" zoomScaleSheetLayoutView="100" workbookViewId="0" topLeftCell="A1">
      <selection activeCell="W4" sqref="W4"/>
    </sheetView>
  </sheetViews>
  <sheetFormatPr defaultColWidth="8.88671875" defaultRowHeight="13.5"/>
  <cols>
    <col min="1" max="63" width="2.77734375" style="1" customWidth="1"/>
    <col min="64" max="16384" width="8.88671875" style="1" customWidth="1"/>
  </cols>
  <sheetData>
    <row r="1" spans="1:32" ht="11.25" customHeight="1">
      <c r="A1" s="19"/>
      <c r="B1" s="19" t="str">
        <f>title2&amp;"  :"</f>
        <v>Technical Guide  :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21" t="s">
        <v>17</v>
      </c>
      <c r="V1" s="22"/>
      <c r="W1" s="23"/>
      <c r="X1" s="204" t="str">
        <f>docno</f>
        <v>TG - WSP - 100</v>
      </c>
      <c r="Y1" s="204"/>
      <c r="Z1" s="204"/>
      <c r="AA1" s="204"/>
      <c r="AB1" s="204"/>
      <c r="AC1" s="24"/>
      <c r="AD1" s="25"/>
      <c r="AE1" s="25"/>
      <c r="AF1" s="25"/>
    </row>
    <row r="2" spans="1:32" ht="11.25" customHeight="1">
      <c r="A2" s="207" t="str">
        <f>title</f>
        <v>White Smoke Prevention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8"/>
      <c r="U2" s="26" t="s">
        <v>18</v>
      </c>
      <c r="V2" s="27"/>
      <c r="W2" s="28"/>
      <c r="X2" s="205" t="s">
        <v>37</v>
      </c>
      <c r="Y2" s="205"/>
      <c r="Z2" s="205"/>
      <c r="AA2" s="205"/>
      <c r="AB2" s="205"/>
      <c r="AC2" s="29"/>
      <c r="AD2" s="25"/>
      <c r="AE2" s="25"/>
      <c r="AF2" s="25"/>
    </row>
    <row r="3" spans="1:32" ht="11.2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8"/>
      <c r="U3" s="26" t="s">
        <v>19</v>
      </c>
      <c r="V3" s="27"/>
      <c r="W3" s="28"/>
      <c r="X3" s="30">
        <v>0</v>
      </c>
      <c r="Y3" s="52">
        <v>1</v>
      </c>
      <c r="Z3" s="52"/>
      <c r="AA3" s="52"/>
      <c r="AB3" s="53"/>
      <c r="AC3" s="29"/>
      <c r="AD3" s="25"/>
      <c r="AE3" s="25"/>
      <c r="AF3" s="25"/>
    </row>
    <row r="4" spans="1:32" ht="11.2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10"/>
      <c r="U4" s="31" t="s">
        <v>20</v>
      </c>
      <c r="V4" s="32"/>
      <c r="W4" s="33"/>
      <c r="X4" s="32"/>
      <c r="Y4" s="32">
        <v>1</v>
      </c>
      <c r="Z4" s="34" t="s">
        <v>21</v>
      </c>
      <c r="AA4" s="35">
        <v>1</v>
      </c>
      <c r="AB4" s="32"/>
      <c r="AC4" s="24"/>
      <c r="AD4" s="25"/>
      <c r="AE4" s="25"/>
      <c r="AF4" s="25"/>
    </row>
    <row r="5" spans="1:32" ht="11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  <c r="V5" s="37"/>
      <c r="W5" s="37"/>
      <c r="X5" s="37"/>
      <c r="Y5" s="37"/>
      <c r="Z5" s="37"/>
      <c r="AA5" s="37"/>
      <c r="AB5" s="37"/>
      <c r="AC5" s="24"/>
      <c r="AD5" s="25"/>
      <c r="AE5" s="25"/>
      <c r="AF5" s="25"/>
    </row>
    <row r="6" spans="1:32" ht="11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37"/>
      <c r="X6" s="37"/>
      <c r="Y6" s="37"/>
      <c r="Z6" s="37"/>
      <c r="AA6" s="37"/>
      <c r="AB6" s="37"/>
      <c r="AC6" s="24"/>
      <c r="AD6" s="25"/>
      <c r="AE6" s="25"/>
      <c r="AF6" s="25"/>
    </row>
    <row r="7" spans="1:29" ht="11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  <c r="V7" s="37"/>
      <c r="W7" s="37"/>
      <c r="X7" s="37"/>
      <c r="Y7" s="37"/>
      <c r="Z7" s="37"/>
      <c r="AA7" s="37"/>
      <c r="AB7" s="37"/>
      <c r="AC7" s="37"/>
    </row>
    <row r="8" spans="1:29" ht="11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7"/>
      <c r="X8" s="37"/>
      <c r="Y8" s="37"/>
      <c r="Z8" s="37"/>
      <c r="AA8" s="37"/>
      <c r="AB8" s="37"/>
      <c r="AC8" s="37"/>
    </row>
    <row r="9" spans="1:29" ht="11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  <c r="W9" s="37"/>
      <c r="X9" s="37"/>
      <c r="Y9" s="37"/>
      <c r="Z9" s="37"/>
      <c r="AA9" s="37"/>
      <c r="AB9" s="37"/>
      <c r="AC9" s="37"/>
    </row>
    <row r="10" spans="1:29" ht="11.25" customHeight="1">
      <c r="A10" s="9"/>
      <c r="B10" s="9"/>
      <c r="C10" s="9"/>
      <c r="D10" s="9"/>
      <c r="E10" s="9"/>
      <c r="F10" s="206" t="s">
        <v>22</v>
      </c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9"/>
      <c r="S10" s="9"/>
      <c r="T10" s="9"/>
      <c r="U10" s="9"/>
      <c r="V10" s="37"/>
      <c r="W10" s="37"/>
      <c r="X10" s="37"/>
      <c r="Y10" s="37"/>
      <c r="Z10" s="37"/>
      <c r="AA10" s="37"/>
      <c r="AB10" s="37"/>
      <c r="AC10" s="37"/>
    </row>
    <row r="11" spans="1:29" ht="11.25" customHeight="1">
      <c r="A11" s="9"/>
      <c r="B11" s="9"/>
      <c r="C11" s="9"/>
      <c r="D11" s="9"/>
      <c r="E11" s="9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9"/>
      <c r="S11" s="9"/>
      <c r="T11" s="9"/>
      <c r="U11" s="9"/>
      <c r="V11" s="37"/>
      <c r="W11" s="37"/>
      <c r="X11" s="37"/>
      <c r="Y11" s="37"/>
      <c r="Z11" s="37"/>
      <c r="AA11" s="37"/>
      <c r="AB11" s="37"/>
      <c r="AC11" s="37"/>
    </row>
    <row r="12" spans="1:29" ht="11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37"/>
      <c r="W12" s="37"/>
      <c r="X12" s="37"/>
      <c r="Y12" s="37"/>
      <c r="Z12" s="37"/>
      <c r="AA12" s="37"/>
      <c r="AB12" s="37"/>
      <c r="AC12" s="37"/>
    </row>
    <row r="13" spans="1:21" ht="11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9" ht="11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37"/>
      <c r="W14" s="37"/>
      <c r="X14" s="37"/>
      <c r="Y14" s="37"/>
      <c r="Z14" s="37"/>
      <c r="AA14" s="37"/>
      <c r="AB14" s="37"/>
      <c r="AC14" s="37"/>
    </row>
    <row r="15" spans="1:29" ht="11.25" customHeight="1">
      <c r="A15" s="9"/>
      <c r="B15" s="9"/>
      <c r="C15" s="9"/>
      <c r="D15" s="9"/>
      <c r="E15" s="9"/>
      <c r="F15" s="38" t="s">
        <v>23</v>
      </c>
      <c r="G15" s="9"/>
      <c r="H15" s="39" t="str">
        <f>toc1</f>
        <v>Psychrometric Process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37"/>
      <c r="W15" s="37"/>
      <c r="X15" s="37"/>
      <c r="Y15" s="37"/>
      <c r="Z15" s="37"/>
      <c r="AA15" s="37"/>
      <c r="AB15" s="37"/>
      <c r="AC15" s="37"/>
    </row>
    <row r="16" spans="1:29" ht="11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37"/>
      <c r="W16" s="37"/>
      <c r="X16" s="37"/>
      <c r="Y16" s="37"/>
      <c r="Z16" s="37"/>
      <c r="AA16" s="37"/>
      <c r="AB16" s="37"/>
      <c r="AC16" s="37"/>
    </row>
    <row r="17" spans="1:29" ht="11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37"/>
      <c r="W17" s="37"/>
      <c r="X17" s="37"/>
      <c r="Y17" s="37"/>
      <c r="Z17" s="37"/>
      <c r="AA17" s="37"/>
      <c r="AB17" s="37"/>
      <c r="AC17" s="37"/>
    </row>
    <row r="18" spans="1:29" ht="11.25" customHeight="1">
      <c r="A18" s="9"/>
      <c r="B18" s="9"/>
      <c r="C18" s="9"/>
      <c r="D18" s="9"/>
      <c r="E18" s="9"/>
      <c r="F18" s="38" t="s">
        <v>24</v>
      </c>
      <c r="G18" s="9"/>
      <c r="H18" s="39" t="str">
        <f>toc2</f>
        <v>Reheating Method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37"/>
      <c r="W18" s="37"/>
      <c r="X18" s="37"/>
      <c r="Y18" s="37"/>
      <c r="Z18" s="37"/>
      <c r="AA18" s="37"/>
      <c r="AB18" s="37"/>
      <c r="AC18" s="37"/>
    </row>
    <row r="19" spans="1:29" ht="11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37"/>
      <c r="W19" s="37"/>
      <c r="X19" s="37"/>
      <c r="Y19" s="37"/>
      <c r="Z19" s="37"/>
      <c r="AA19" s="37"/>
      <c r="AB19" s="37"/>
      <c r="AC19" s="37"/>
    </row>
    <row r="20" spans="1:21" ht="11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9" ht="11.25" customHeight="1">
      <c r="A21" s="9"/>
      <c r="B21" s="9"/>
      <c r="C21" s="9"/>
      <c r="D21" s="9"/>
      <c r="E21" s="9"/>
      <c r="F21" s="38" t="s">
        <v>25</v>
      </c>
      <c r="G21" s="9"/>
      <c r="H21" s="39" t="str">
        <f>toc3</f>
        <v>Dilution Method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37"/>
      <c r="W21" s="37"/>
      <c r="X21" s="37"/>
      <c r="Y21" s="37"/>
      <c r="Z21" s="37"/>
      <c r="AA21" s="37"/>
      <c r="AB21" s="37"/>
      <c r="AC21" s="37"/>
    </row>
    <row r="22" spans="1:21" ht="11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1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9" ht="11.25" customHeight="1">
      <c r="A24" s="9"/>
      <c r="B24" s="9"/>
      <c r="C24" s="9"/>
      <c r="D24" s="9"/>
      <c r="E24" s="9"/>
      <c r="F24" s="38" t="s">
        <v>26</v>
      </c>
      <c r="G24" s="9"/>
      <c r="H24" s="39" t="str">
        <f>toc4</f>
        <v>Dehumidifying Method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37"/>
      <c r="W24" s="37"/>
      <c r="X24" s="37"/>
      <c r="Y24" s="37"/>
      <c r="Z24" s="37"/>
      <c r="AA24" s="37"/>
      <c r="AB24" s="37"/>
      <c r="AC24" s="37"/>
    </row>
    <row r="25" spans="1:21" ht="11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1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9" ht="11.25" customHeight="1">
      <c r="A27" s="9"/>
      <c r="B27" s="9"/>
      <c r="C27" s="9"/>
      <c r="D27" s="9"/>
      <c r="E27" s="9"/>
      <c r="F27" s="38"/>
      <c r="G27" s="9"/>
      <c r="H27" s="3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37"/>
      <c r="W27" s="37"/>
      <c r="X27" s="37"/>
      <c r="Y27" s="37"/>
      <c r="Z27" s="37"/>
      <c r="AA27" s="37"/>
      <c r="AB27" s="37"/>
      <c r="AC27" s="37"/>
    </row>
    <row r="28" spans="1:21" ht="11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1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9" ht="11.25" customHeight="1">
      <c r="A30" s="9"/>
      <c r="B30" s="9"/>
      <c r="C30" s="9"/>
      <c r="D30" s="9"/>
      <c r="E30" s="9"/>
      <c r="F30" s="38"/>
      <c r="G30" s="9"/>
      <c r="H30" s="3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37"/>
      <c r="W30" s="37"/>
      <c r="X30" s="37"/>
      <c r="Y30" s="37"/>
      <c r="Z30" s="37"/>
      <c r="AA30" s="37"/>
      <c r="AB30" s="37"/>
      <c r="AC30" s="37"/>
    </row>
    <row r="31" spans="1:21" ht="11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1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9" ht="11.25" customHeight="1">
      <c r="A33" s="9"/>
      <c r="B33" s="9"/>
      <c r="C33" s="9"/>
      <c r="D33" s="9"/>
      <c r="E33" s="9"/>
      <c r="F33" s="38"/>
      <c r="G33" s="9"/>
      <c r="H33" s="3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37"/>
      <c r="W33" s="37"/>
      <c r="X33" s="37"/>
      <c r="Y33" s="37"/>
      <c r="Z33" s="37"/>
      <c r="AA33" s="37"/>
      <c r="AB33" s="37"/>
      <c r="AC33" s="37"/>
    </row>
    <row r="34" spans="1:21" ht="11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1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9" ht="11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37"/>
      <c r="W36" s="37"/>
      <c r="X36" s="37"/>
      <c r="Y36" s="37"/>
      <c r="Z36" s="37"/>
      <c r="AA36" s="37"/>
      <c r="AB36" s="37"/>
      <c r="AC36" s="37"/>
    </row>
    <row r="37" spans="1:21" ht="11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1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9" ht="11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37"/>
      <c r="W39" s="37"/>
      <c r="X39" s="37"/>
      <c r="Y39" s="37"/>
      <c r="Z39" s="37"/>
      <c r="AA39" s="37"/>
      <c r="AB39" s="37"/>
      <c r="AC39" s="37"/>
    </row>
    <row r="40" spans="1:21" ht="11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1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9" ht="11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37"/>
      <c r="W42" s="37"/>
      <c r="X42" s="37"/>
      <c r="Y42" s="37"/>
      <c r="Z42" s="37"/>
      <c r="AA42" s="37"/>
      <c r="AB42" s="37"/>
      <c r="AC42" s="37"/>
    </row>
    <row r="43" spans="1:21" ht="11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1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9" ht="11.25" customHeight="1">
      <c r="A45" s="36"/>
      <c r="B45" s="36"/>
      <c r="C45" s="36"/>
      <c r="D45" s="36"/>
      <c r="E45" s="9"/>
      <c r="F45" s="9"/>
      <c r="G45" s="9"/>
      <c r="H45" s="9"/>
      <c r="I45" s="9"/>
      <c r="J45" s="9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7"/>
      <c r="W45" s="37"/>
      <c r="X45" s="37"/>
      <c r="Y45" s="37"/>
      <c r="Z45" s="37"/>
      <c r="AA45" s="37"/>
      <c r="AB45" s="37"/>
      <c r="AC45" s="37"/>
    </row>
    <row r="46" spans="1:29" ht="11.2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7"/>
      <c r="W46" s="37"/>
      <c r="X46" s="37"/>
      <c r="Y46" s="37"/>
      <c r="Z46" s="37"/>
      <c r="AA46" s="37"/>
      <c r="AB46" s="37"/>
      <c r="AC46" s="37"/>
    </row>
    <row r="47" spans="1:29" ht="11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37"/>
      <c r="X47" s="37"/>
      <c r="Y47" s="37"/>
      <c r="Z47" s="37"/>
      <c r="AA47" s="37"/>
      <c r="AB47" s="37"/>
      <c r="AC47" s="37"/>
    </row>
    <row r="48" spans="1:29" ht="11.2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7"/>
      <c r="W48" s="37"/>
      <c r="X48" s="37"/>
      <c r="Y48" s="37"/>
      <c r="Z48" s="37"/>
      <c r="AA48" s="37"/>
      <c r="AB48" s="37"/>
      <c r="AC48" s="37"/>
    </row>
    <row r="49" spans="1:29" ht="11.2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7"/>
      <c r="W49" s="37"/>
      <c r="X49" s="37"/>
      <c r="Y49" s="37"/>
      <c r="Z49" s="37"/>
      <c r="AA49" s="37"/>
      <c r="AB49" s="37"/>
      <c r="AC49" s="37"/>
    </row>
    <row r="50" spans="1:29" ht="11.2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7"/>
      <c r="W50" s="37"/>
      <c r="X50" s="37"/>
      <c r="Y50" s="37"/>
      <c r="Z50" s="37"/>
      <c r="AA50" s="37"/>
      <c r="AB50" s="37"/>
      <c r="AC50" s="37"/>
    </row>
    <row r="51" spans="1:29" ht="11.2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7"/>
      <c r="X51" s="37"/>
      <c r="Y51" s="37"/>
      <c r="Z51" s="37"/>
      <c r="AA51" s="37"/>
      <c r="AB51" s="37"/>
      <c r="AC51" s="37"/>
    </row>
    <row r="52" spans="1:29" ht="11.2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7"/>
      <c r="W52" s="37"/>
      <c r="X52" s="37"/>
      <c r="Y52" s="37"/>
      <c r="Z52" s="37"/>
      <c r="AA52" s="37"/>
      <c r="AB52" s="37"/>
      <c r="AC52" s="37"/>
    </row>
    <row r="53" spans="1:29" ht="11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7"/>
      <c r="W53" s="37"/>
      <c r="X53" s="37"/>
      <c r="Y53" s="37"/>
      <c r="Z53" s="37"/>
      <c r="AA53" s="37"/>
      <c r="AB53" s="37"/>
      <c r="AC53" s="37"/>
    </row>
    <row r="54" spans="1:29" ht="11.2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7"/>
      <c r="W54" s="37"/>
      <c r="X54" s="37"/>
      <c r="Y54" s="37"/>
      <c r="Z54" s="37"/>
      <c r="AA54" s="37"/>
      <c r="AB54" s="37"/>
      <c r="AC54" s="37"/>
    </row>
    <row r="55" spans="1:29" ht="11.2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</row>
    <row r="56" spans="1:29" ht="11.2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1:29" ht="11.2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1:29" ht="11.2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1:29" ht="11.2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1:29" ht="11.2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1:29" ht="11.2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pans="1:30" ht="11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36"/>
      <c r="AD62" s="9"/>
    </row>
    <row r="63" spans="1:30" ht="11.25" customHeight="1">
      <c r="A63" s="9" t="str">
        <f>cosymbol</f>
        <v> NTES</v>
      </c>
      <c r="AB63" s="41" t="str">
        <f>coname</f>
        <v>Narai Thermal engineering Services </v>
      </c>
      <c r="AC63" s="9"/>
      <c r="AD63" s="9"/>
    </row>
    <row r="64" ht="11.25" customHeight="1"/>
    <row r="111" ht="13.5" customHeight="1"/>
    <row r="112" ht="13.5" customHeight="1"/>
  </sheetData>
  <mergeCells count="4">
    <mergeCell ref="X1:AB1"/>
    <mergeCell ref="X2:AB2"/>
    <mergeCell ref="F10:Q11"/>
    <mergeCell ref="A2:T4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F63"/>
  <sheetViews>
    <sheetView tabSelected="1" view="pageBreakPreview" zoomScaleSheetLayoutView="100" workbookViewId="0" topLeftCell="A1">
      <selection activeCell="W4" sqref="W4"/>
    </sheetView>
  </sheetViews>
  <sheetFormatPr defaultColWidth="8.88671875" defaultRowHeight="13.5"/>
  <cols>
    <col min="1" max="63" width="2.77734375" style="1" customWidth="1"/>
    <col min="64" max="16384" width="8.88671875" style="1" customWidth="1"/>
  </cols>
  <sheetData>
    <row r="1" spans="1:32" ht="11.25" customHeight="1">
      <c r="A1" s="19"/>
      <c r="B1" s="19" t="str">
        <f>title2&amp;"  :"</f>
        <v>Technical Guide  :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42" t="s">
        <v>17</v>
      </c>
      <c r="V1" s="43"/>
      <c r="W1" s="43"/>
      <c r="X1" s="211" t="str">
        <f>docno</f>
        <v>TG - WSP - 100</v>
      </c>
      <c r="Y1" s="204"/>
      <c r="Z1" s="204"/>
      <c r="AA1" s="204"/>
      <c r="AB1" s="204"/>
      <c r="AC1" s="24"/>
      <c r="AD1" s="25"/>
      <c r="AE1" s="25"/>
      <c r="AF1" s="25"/>
    </row>
    <row r="2" spans="1:32" ht="11.25" customHeight="1">
      <c r="A2" s="207" t="str">
        <f>title</f>
        <v>White Smoke Prevention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8"/>
      <c r="U2" s="44" t="s">
        <v>18</v>
      </c>
      <c r="V2" s="45"/>
      <c r="W2" s="45"/>
      <c r="X2" s="212" t="s">
        <v>37</v>
      </c>
      <c r="Y2" s="205"/>
      <c r="Z2" s="205"/>
      <c r="AA2" s="205"/>
      <c r="AB2" s="205"/>
      <c r="AC2" s="29"/>
      <c r="AD2" s="25"/>
      <c r="AE2" s="25"/>
      <c r="AF2" s="25"/>
    </row>
    <row r="3" spans="1:32" ht="11.2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8"/>
      <c r="U3" s="44" t="s">
        <v>19</v>
      </c>
      <c r="V3" s="45"/>
      <c r="W3" s="45"/>
      <c r="X3" s="30">
        <v>0</v>
      </c>
      <c r="Y3" s="52">
        <v>1</v>
      </c>
      <c r="Z3" s="52"/>
      <c r="AA3" s="52"/>
      <c r="AB3" s="53"/>
      <c r="AC3" s="29"/>
      <c r="AD3" s="25"/>
      <c r="AE3" s="25"/>
      <c r="AF3" s="25"/>
    </row>
    <row r="4" spans="1:32" ht="11.2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10"/>
      <c r="U4" s="46" t="s">
        <v>20</v>
      </c>
      <c r="V4" s="47"/>
      <c r="W4" s="47"/>
      <c r="X4" s="48"/>
      <c r="Y4" s="49">
        <v>1</v>
      </c>
      <c r="Z4" s="34" t="s">
        <v>21</v>
      </c>
      <c r="AA4" s="50">
        <v>4</v>
      </c>
      <c r="AB4" s="47"/>
      <c r="AC4" s="24"/>
      <c r="AE4" s="25"/>
      <c r="AF4" s="25"/>
    </row>
    <row r="5" spans="1:32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AC5" s="24"/>
      <c r="AD5" s="25"/>
      <c r="AE5" s="25"/>
      <c r="AF5" s="25"/>
    </row>
    <row r="6" spans="1:32" ht="11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AC6" s="24"/>
      <c r="AE6" s="25"/>
      <c r="AF6" s="25"/>
    </row>
    <row r="7" spans="1:29" ht="11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AC7" s="37"/>
    </row>
    <row r="8" spans="1:29" ht="11.25" customHeight="1">
      <c r="A8" s="9"/>
      <c r="B8" s="9"/>
      <c r="C8" s="38" t="s">
        <v>23</v>
      </c>
      <c r="D8" s="51" t="s">
        <v>36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AC8" s="37"/>
    </row>
    <row r="9" spans="1:29" ht="11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AC9" s="37"/>
    </row>
    <row r="10" spans="1:29" ht="11.25" customHeight="1">
      <c r="A10" s="9"/>
      <c r="B10" s="9"/>
      <c r="C10" s="9"/>
      <c r="D10" s="56" t="s">
        <v>67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AC10" s="37"/>
    </row>
    <row r="11" spans="1:23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W11" s="9"/>
    </row>
    <row r="12" spans="1:23" ht="11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39" t="s">
        <v>60</v>
      </c>
      <c r="S12" s="9"/>
      <c r="T12" s="9"/>
      <c r="W12" s="9"/>
    </row>
    <row r="13" spans="1:23" ht="11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W13" s="9"/>
    </row>
    <row r="14" spans="1:30" ht="11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 t="s">
        <v>178</v>
      </c>
      <c r="T14" s="9"/>
      <c r="W14" s="9"/>
      <c r="AD14" s="36"/>
    </row>
    <row r="15" spans="1:30" ht="11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T15" s="9"/>
      <c r="W15" s="9"/>
      <c r="AD15" s="36"/>
    </row>
    <row r="16" spans="1:30" ht="11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W16" s="9"/>
      <c r="AD16" s="36"/>
    </row>
    <row r="17" spans="1:30" ht="11.25" customHeight="1">
      <c r="A17" s="9"/>
      <c r="B17" s="9"/>
      <c r="C17" s="9"/>
      <c r="D17" s="9"/>
      <c r="E17" s="9"/>
      <c r="F17" s="9"/>
      <c r="G17" s="9"/>
      <c r="H17" s="9"/>
      <c r="I17" s="55" t="s">
        <v>229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W17" s="9"/>
      <c r="AD17" s="36"/>
    </row>
    <row r="18" spans="1:30" ht="11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W18" s="9"/>
      <c r="AD18" s="36"/>
    </row>
    <row r="19" spans="1:30" ht="11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37"/>
      <c r="W19" s="36"/>
      <c r="X19" s="37"/>
      <c r="Y19" s="37"/>
      <c r="Z19" s="37"/>
      <c r="AB19" s="37"/>
      <c r="AC19" s="37"/>
      <c r="AD19" s="36"/>
    </row>
    <row r="20" spans="1:30" ht="11.25" customHeight="1">
      <c r="A20" s="36"/>
      <c r="B20" s="36"/>
      <c r="C20" s="36"/>
      <c r="D20" s="36"/>
      <c r="E20" s="16" t="s">
        <v>46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37"/>
      <c r="W20" s="36"/>
      <c r="X20" s="37"/>
      <c r="Y20" s="37"/>
      <c r="Z20" s="37"/>
      <c r="AB20" s="37"/>
      <c r="AC20" s="37"/>
      <c r="AD20" s="36"/>
    </row>
    <row r="21" spans="1:29" ht="11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37"/>
      <c r="W21" s="36"/>
      <c r="X21" s="37"/>
      <c r="Y21" s="37"/>
      <c r="Z21" s="37"/>
      <c r="AB21" s="37"/>
      <c r="AC21" s="37"/>
    </row>
    <row r="22" spans="1:29" ht="11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37"/>
      <c r="W22" s="36"/>
      <c r="X22" s="37"/>
      <c r="Y22" s="37"/>
      <c r="Z22" s="37"/>
      <c r="AB22" s="37"/>
      <c r="AC22" s="37"/>
    </row>
    <row r="23" spans="1:29" ht="11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37"/>
      <c r="W23" s="36"/>
      <c r="X23" s="37"/>
      <c r="Y23" s="37"/>
      <c r="Z23" s="37"/>
      <c r="AB23" s="37"/>
      <c r="AC23" s="37"/>
    </row>
    <row r="24" spans="1:29" ht="11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55" t="s">
        <v>45</v>
      </c>
      <c r="R24" s="36"/>
      <c r="S24" s="36"/>
      <c r="T24" s="36"/>
      <c r="U24" s="37"/>
      <c r="V24" s="37"/>
      <c r="W24" s="36"/>
      <c r="X24" s="37"/>
      <c r="Y24" s="37"/>
      <c r="Z24" s="37"/>
      <c r="AA24" s="37"/>
      <c r="AB24" s="37"/>
      <c r="AC24" s="37"/>
    </row>
    <row r="25" spans="1:29" ht="11.25" customHeight="1">
      <c r="A25" s="36"/>
      <c r="B25" s="36"/>
      <c r="C25" s="36"/>
      <c r="D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37"/>
      <c r="W25" s="36"/>
      <c r="X25" s="37"/>
      <c r="Y25" s="37"/>
      <c r="Z25" s="37"/>
      <c r="AA25" s="37"/>
      <c r="AB25" s="37"/>
      <c r="AC25" s="37"/>
    </row>
    <row r="26" spans="1:29" ht="11.25" customHeight="1">
      <c r="A26" s="36"/>
      <c r="B26" s="36"/>
      <c r="C26" s="36"/>
      <c r="D26" s="36"/>
      <c r="F26" s="36"/>
      <c r="G26" s="36" t="s">
        <v>171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  <c r="V26" s="37"/>
      <c r="W26" s="36"/>
      <c r="X26" s="37"/>
      <c r="Y26" s="37"/>
      <c r="Z26" s="37"/>
      <c r="AA26" s="37"/>
      <c r="AB26" s="37"/>
      <c r="AC26" s="37"/>
    </row>
    <row r="27" spans="1:23" ht="11.25" customHeight="1">
      <c r="A27" s="9"/>
      <c r="B27" s="9"/>
      <c r="C27" s="9"/>
      <c r="D27" s="9"/>
      <c r="E27" s="9"/>
      <c r="F27" s="9"/>
      <c r="G27" s="9" t="s">
        <v>63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W27" s="9"/>
    </row>
    <row r="28" spans="1:29" ht="11.25" customHeight="1">
      <c r="A28" s="36"/>
      <c r="B28" s="36"/>
      <c r="C28" s="36"/>
      <c r="D28" s="36"/>
      <c r="F28" s="36"/>
      <c r="G28" s="36" t="s">
        <v>230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/>
      <c r="V28" s="37"/>
      <c r="W28" s="36"/>
      <c r="X28" s="37"/>
      <c r="Y28" s="37"/>
      <c r="Z28" s="37"/>
      <c r="AA28" s="37"/>
      <c r="AB28" s="37"/>
      <c r="AC28" s="37"/>
    </row>
    <row r="29" spans="1:29" ht="11.25" customHeight="1">
      <c r="A29" s="36"/>
      <c r="B29" s="36"/>
      <c r="C29" s="36"/>
      <c r="D29" s="36"/>
      <c r="F29" s="130" t="s">
        <v>184</v>
      </c>
      <c r="H29" s="36"/>
      <c r="I29" s="36" t="s">
        <v>232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</row>
    <row r="30" spans="1:29" ht="11.25" customHeight="1">
      <c r="A30" s="36"/>
      <c r="B30" s="36"/>
      <c r="C30" s="36"/>
      <c r="D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7"/>
      <c r="V30" s="37"/>
      <c r="W30" s="36"/>
      <c r="X30" s="37"/>
      <c r="Y30" s="37"/>
      <c r="Z30" s="37"/>
      <c r="AA30" s="37"/>
      <c r="AB30" s="37"/>
      <c r="AC30" s="37"/>
    </row>
    <row r="31" spans="1:29" ht="11.2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spans="1:23" ht="11.25" customHeight="1">
      <c r="A32" s="9"/>
      <c r="B32" s="9"/>
      <c r="C32" s="9"/>
      <c r="D32" s="56" t="s">
        <v>66</v>
      </c>
      <c r="E32" s="9"/>
      <c r="F32" s="9"/>
      <c r="G32" s="10" t="s">
        <v>64</v>
      </c>
      <c r="H32" s="39" t="s">
        <v>228</v>
      </c>
      <c r="I32" s="10" t="s">
        <v>65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W32" s="9"/>
    </row>
    <row r="33" spans="1:29" ht="11.25" customHeight="1">
      <c r="A33" s="36"/>
      <c r="B33" s="36"/>
      <c r="C33" s="36"/>
      <c r="D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ht="11.25" customHeight="1">
      <c r="A34" s="36"/>
      <c r="B34" s="36"/>
      <c r="C34" s="36"/>
      <c r="D34" s="36" t="s">
        <v>256</v>
      </c>
      <c r="E34" s="36"/>
      <c r="G34" s="36"/>
      <c r="H34" s="36"/>
      <c r="I34" s="36"/>
      <c r="J34" s="36"/>
      <c r="K34" s="36"/>
      <c r="M34" s="130" t="s">
        <v>184</v>
      </c>
      <c r="O34" s="36" t="s">
        <v>257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ht="11.25" customHeight="1">
      <c r="A35" s="36"/>
      <c r="B35" s="36"/>
      <c r="C35" s="36"/>
      <c r="D35" s="36" t="s">
        <v>258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ht="11.2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29" ht="11.2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29" ht="11.25" customHeight="1">
      <c r="A38" s="36"/>
      <c r="B38" s="36"/>
      <c r="C38" s="36"/>
      <c r="D38" s="57" t="s">
        <v>68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1:29" ht="11.2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7"/>
      <c r="W39" s="37"/>
      <c r="X39" s="37"/>
      <c r="Y39" s="37"/>
      <c r="Z39" s="37"/>
      <c r="AA39" s="37"/>
      <c r="AB39" s="37"/>
      <c r="AC39" s="37"/>
    </row>
    <row r="40" spans="1:29" ht="11.25" customHeight="1">
      <c r="A40" s="36"/>
      <c r="B40" s="36"/>
      <c r="C40" s="36"/>
      <c r="D40" s="16" t="str">
        <f>toc2</f>
        <v>Reheating Method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7"/>
      <c r="W40" s="37"/>
      <c r="X40" s="37"/>
      <c r="Y40" s="37"/>
      <c r="Z40" s="37"/>
      <c r="AA40" s="37"/>
      <c r="AB40" s="37"/>
      <c r="AC40" s="37"/>
    </row>
    <row r="41" spans="1:29" ht="11.2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7"/>
      <c r="W41" s="37"/>
      <c r="X41" s="37"/>
      <c r="Y41" s="37"/>
      <c r="Z41" s="37"/>
      <c r="AA41" s="37"/>
      <c r="AB41" s="37"/>
      <c r="AC41" s="37"/>
    </row>
    <row r="42" spans="1:29" ht="11.25" customHeight="1">
      <c r="A42" s="36"/>
      <c r="B42" s="36"/>
      <c r="C42" s="36"/>
      <c r="D42" s="36"/>
      <c r="E42" s="36" t="s">
        <v>69</v>
      </c>
      <c r="F42" s="36"/>
      <c r="G42" s="36" t="s">
        <v>261</v>
      </c>
      <c r="H42" s="36"/>
      <c r="I42" s="9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7"/>
      <c r="W42" s="37"/>
      <c r="X42" s="37"/>
      <c r="Y42" s="37"/>
      <c r="Z42" s="37"/>
      <c r="AA42" s="37"/>
      <c r="AB42" s="37"/>
      <c r="AC42" s="37"/>
    </row>
    <row r="43" spans="1:29" ht="11.2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 ht="11.2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 ht="11.25" customHeight="1">
      <c r="A45" s="36"/>
      <c r="B45" s="36"/>
      <c r="C45" s="36"/>
      <c r="D45" s="16" t="str">
        <f>toc3</f>
        <v>Dilution Method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7"/>
      <c r="W45" s="37"/>
      <c r="X45" s="37"/>
      <c r="Y45" s="37"/>
      <c r="Z45" s="37"/>
      <c r="AA45" s="37"/>
      <c r="AB45" s="37"/>
      <c r="AC45" s="37"/>
    </row>
    <row r="46" spans="1:29" ht="11.2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1:29" ht="11.25" customHeight="1">
      <c r="A47" s="36"/>
      <c r="B47" s="36"/>
      <c r="C47" s="36"/>
      <c r="D47" s="36"/>
      <c r="E47" s="36" t="s">
        <v>69</v>
      </c>
      <c r="F47" s="36"/>
      <c r="G47" s="36" t="s">
        <v>262</v>
      </c>
      <c r="H47" s="36"/>
      <c r="I47" s="9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</row>
    <row r="48" spans="1:29" ht="11.25" customHeight="1">
      <c r="A48" s="36"/>
      <c r="B48" s="36"/>
      <c r="C48" s="36"/>
      <c r="D48" s="36"/>
      <c r="E48" s="36"/>
      <c r="F48" s="36"/>
      <c r="G48" s="36"/>
      <c r="I48" s="164" t="s">
        <v>231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7"/>
      <c r="W48" s="37"/>
      <c r="X48" s="37"/>
      <c r="Y48" s="37"/>
      <c r="Z48" s="37"/>
      <c r="AA48" s="37"/>
      <c r="AB48" s="37"/>
      <c r="AC48" s="37"/>
    </row>
    <row r="49" spans="1:29" ht="11.2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</row>
    <row r="50" spans="1:29" ht="11.2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</row>
    <row r="51" spans="1:29" ht="11.25" customHeight="1">
      <c r="A51" s="36"/>
      <c r="B51" s="36"/>
      <c r="C51" s="36"/>
      <c r="D51" s="16" t="str">
        <f>toc4</f>
        <v>Dehumidifying Method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7"/>
      <c r="X51" s="37"/>
      <c r="Y51" s="37"/>
      <c r="Z51" s="37"/>
      <c r="AA51" s="37"/>
      <c r="AB51" s="37"/>
      <c r="AC51" s="37"/>
    </row>
    <row r="52" spans="1:29" ht="11.2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</row>
    <row r="53" spans="1:29" ht="11.25" customHeight="1">
      <c r="A53" s="36"/>
      <c r="B53" s="36"/>
      <c r="C53" s="36"/>
      <c r="D53" s="36"/>
      <c r="E53" s="36" t="s">
        <v>69</v>
      </c>
      <c r="F53" s="36"/>
      <c r="G53" s="36" t="s">
        <v>263</v>
      </c>
      <c r="H53" s="36"/>
      <c r="I53" s="9"/>
      <c r="J53" s="36"/>
      <c r="K53" s="9"/>
      <c r="M53" s="36"/>
      <c r="N53" s="36"/>
      <c r="O53" s="36"/>
      <c r="P53" s="36"/>
      <c r="Q53" s="36"/>
      <c r="R53" s="36"/>
      <c r="S53" s="36"/>
      <c r="T53" s="36"/>
      <c r="U53" s="36"/>
      <c r="V53" s="37"/>
      <c r="W53" s="37"/>
      <c r="X53" s="37"/>
      <c r="Y53" s="37"/>
      <c r="Z53" s="37"/>
      <c r="AA53" s="37"/>
      <c r="AB53" s="37"/>
      <c r="AC53" s="37"/>
    </row>
    <row r="54" spans="1:29" ht="11.2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7"/>
      <c r="W54" s="37"/>
      <c r="X54" s="37"/>
      <c r="Y54" s="37"/>
      <c r="Z54" s="37"/>
      <c r="AA54" s="37"/>
      <c r="AB54" s="37"/>
      <c r="AC54" s="37"/>
    </row>
    <row r="55" spans="1:29" ht="11.2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</row>
    <row r="56" spans="1:29" ht="11.2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7"/>
      <c r="W56" s="37"/>
      <c r="X56" s="37"/>
      <c r="Y56" s="37"/>
      <c r="Z56" s="37"/>
      <c r="AA56" s="37"/>
      <c r="AB56" s="37"/>
      <c r="AC56" s="37"/>
    </row>
    <row r="57" spans="1:29" ht="11.2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1:29" ht="11.2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1:29" ht="11.2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1:29" ht="11.2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1:29" ht="11.2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pans="1:30" ht="11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36"/>
      <c r="AD62" s="9"/>
    </row>
    <row r="63" spans="1:30" ht="11.25" customHeight="1">
      <c r="A63" s="9" t="str">
        <f>cosymbol</f>
        <v> NTES</v>
      </c>
      <c r="AB63" s="41" t="str">
        <f>coname</f>
        <v>Narai Thermal engineering Services </v>
      </c>
      <c r="AC63" s="9"/>
      <c r="AD63" s="9"/>
    </row>
    <row r="64" ht="11.25" customHeight="1"/>
    <row r="111" ht="13.5" customHeight="1"/>
    <row r="112" ht="13.5" customHeight="1"/>
  </sheetData>
  <mergeCells count="3">
    <mergeCell ref="X1:AB1"/>
    <mergeCell ref="X2:AB2"/>
    <mergeCell ref="A2:T4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Z63"/>
  <sheetViews>
    <sheetView view="pageBreakPreview" zoomScaleSheetLayoutView="100" workbookViewId="0" topLeftCell="A1">
      <selection activeCell="W4" sqref="W4"/>
    </sheetView>
  </sheetViews>
  <sheetFormatPr defaultColWidth="8.88671875" defaultRowHeight="13.5"/>
  <cols>
    <col min="1" max="30" width="2.77734375" style="1" customWidth="1"/>
    <col min="31" max="63" width="3.77734375" style="1" customWidth="1"/>
    <col min="64" max="16384" width="8.88671875" style="1" customWidth="1"/>
  </cols>
  <sheetData>
    <row r="1" spans="1:32" ht="11.25" customHeight="1">
      <c r="A1" s="19"/>
      <c r="B1" s="19" t="str">
        <f>title2&amp;"  :"</f>
        <v>Technical Guide  :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42" t="s">
        <v>17</v>
      </c>
      <c r="V1" s="43"/>
      <c r="W1" s="43"/>
      <c r="X1" s="211" t="str">
        <f>docno</f>
        <v>TG - WSP - 100</v>
      </c>
      <c r="Y1" s="204"/>
      <c r="Z1" s="204"/>
      <c r="AA1" s="204"/>
      <c r="AB1" s="204"/>
      <c r="AC1" s="24"/>
      <c r="AD1" s="25"/>
      <c r="AE1" s="25"/>
      <c r="AF1" s="25"/>
    </row>
    <row r="2" spans="1:32" ht="11.25" customHeight="1">
      <c r="A2" s="207" t="str">
        <f>title</f>
        <v>White Smoke Prevention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8"/>
      <c r="U2" s="44" t="s">
        <v>18</v>
      </c>
      <c r="V2" s="45"/>
      <c r="W2" s="45"/>
      <c r="X2" s="212" t="s">
        <v>37</v>
      </c>
      <c r="Y2" s="205"/>
      <c r="Z2" s="205"/>
      <c r="AA2" s="205"/>
      <c r="AB2" s="205"/>
      <c r="AC2" s="29"/>
      <c r="AD2" s="25"/>
      <c r="AE2" s="25"/>
      <c r="AF2" s="25"/>
    </row>
    <row r="3" spans="1:32" ht="11.2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8"/>
      <c r="U3" s="44" t="s">
        <v>19</v>
      </c>
      <c r="V3" s="45"/>
      <c r="W3" s="45"/>
      <c r="X3" s="30">
        <v>0</v>
      </c>
      <c r="Y3" s="52">
        <v>1</v>
      </c>
      <c r="Z3" s="52"/>
      <c r="AA3" s="52"/>
      <c r="AB3" s="53"/>
      <c r="AC3" s="29"/>
      <c r="AD3" s="25"/>
      <c r="AE3" s="25"/>
      <c r="AF3" s="25"/>
    </row>
    <row r="4" spans="1:32" ht="11.2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10"/>
      <c r="U4" s="46" t="s">
        <v>20</v>
      </c>
      <c r="V4" s="47"/>
      <c r="W4" s="47"/>
      <c r="X4" s="48"/>
      <c r="Y4" s="49">
        <v>2</v>
      </c>
      <c r="Z4" s="34" t="s">
        <v>21</v>
      </c>
      <c r="AA4" s="35">
        <f>sheetqty</f>
        <v>4</v>
      </c>
      <c r="AB4" s="47"/>
      <c r="AC4" s="24"/>
      <c r="AE4" s="25"/>
      <c r="AF4" s="25"/>
    </row>
    <row r="5" spans="1:32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AC5" s="24"/>
      <c r="AD5" s="25"/>
      <c r="AE5" s="25"/>
      <c r="AF5" s="25"/>
    </row>
    <row r="6" spans="1:32" ht="11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AC6" s="24"/>
      <c r="AE6" s="25"/>
      <c r="AF6" s="25"/>
    </row>
    <row r="7" spans="1:29" ht="11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AC7" s="37"/>
    </row>
    <row r="8" spans="1:29" ht="11.25" customHeight="1">
      <c r="A8" s="9"/>
      <c r="B8" s="9"/>
      <c r="C8" s="38" t="s">
        <v>24</v>
      </c>
      <c r="D8" s="51" t="s">
        <v>61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AC8" s="37"/>
    </row>
    <row r="9" spans="1:29" ht="11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Z9" s="9"/>
      <c r="AA9" s="9"/>
      <c r="AC9" s="37"/>
    </row>
    <row r="10" spans="1:27" ht="11.25" customHeight="1">
      <c r="A10" s="9"/>
      <c r="B10" s="9"/>
      <c r="C10" s="9"/>
      <c r="D10" s="57" t="s">
        <v>148</v>
      </c>
      <c r="E10" s="36"/>
      <c r="F10" s="36"/>
      <c r="G10" s="36"/>
      <c r="H10" s="36"/>
      <c r="I10" s="36"/>
      <c r="J10" s="36"/>
      <c r="K10" s="36"/>
      <c r="L10" s="36"/>
      <c r="M10" s="36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31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39" t="s">
        <v>60</v>
      </c>
      <c r="Z11" s="9"/>
      <c r="AA11" s="9"/>
      <c r="AE11" s="9"/>
    </row>
    <row r="12" spans="1:52" ht="11.25" customHeight="1">
      <c r="A12" s="9"/>
      <c r="B12" s="9"/>
      <c r="C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C12" s="37"/>
      <c r="AU12" s="9"/>
      <c r="AV12" s="9"/>
      <c r="AW12" s="9"/>
      <c r="AX12" s="9"/>
      <c r="AY12" s="9"/>
      <c r="AZ12" s="9"/>
    </row>
    <row r="13" spans="1:48" ht="11.25" customHeight="1">
      <c r="A13" s="9"/>
      <c r="B13" s="9"/>
      <c r="C13" s="9"/>
      <c r="D13" s="1" t="s">
        <v>47</v>
      </c>
      <c r="H13" s="9"/>
      <c r="I13" s="9"/>
      <c r="J13" s="9"/>
      <c r="K13" s="9" t="str">
        <f>D13</f>
        <v>ma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 t="str">
        <f>D15</f>
        <v>W1</v>
      </c>
      <c r="Z13" s="9"/>
      <c r="AA13" s="9"/>
      <c r="AQ13" s="9"/>
      <c r="AR13" s="114"/>
      <c r="AS13" s="114"/>
      <c r="AT13" s="114"/>
      <c r="AU13" s="114"/>
      <c r="AV13" s="114"/>
    </row>
    <row r="14" spans="1:27" ht="11.25" customHeight="1">
      <c r="A14" s="9"/>
      <c r="B14" s="9"/>
      <c r="C14" s="9"/>
      <c r="D14" s="1" t="s">
        <v>48</v>
      </c>
      <c r="H14" s="10" t="s">
        <v>146</v>
      </c>
      <c r="I14" s="9"/>
      <c r="J14" s="9"/>
      <c r="K14" s="9" t="s">
        <v>51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Z14" s="9"/>
      <c r="AA14" s="9"/>
    </row>
    <row r="15" spans="1:27" ht="11.25" customHeight="1">
      <c r="A15" s="9"/>
      <c r="B15" s="9"/>
      <c r="C15" s="9"/>
      <c r="D15" s="1" t="s">
        <v>49</v>
      </c>
      <c r="H15" s="9"/>
      <c r="I15" s="9"/>
      <c r="J15" s="9"/>
      <c r="K15" s="9" t="s">
        <v>52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1.25" customHeight="1">
      <c r="A16" s="9"/>
      <c r="B16" s="9"/>
      <c r="C16" s="9"/>
      <c r="D16" s="1" t="s">
        <v>50</v>
      </c>
      <c r="H16" s="9"/>
      <c r="I16" s="9"/>
      <c r="J16" s="9"/>
      <c r="K16" s="9" t="s">
        <v>53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1.25" customHeight="1">
      <c r="A17" s="9"/>
      <c r="B17" s="9"/>
      <c r="C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1.25" customHeight="1">
      <c r="A18" s="9"/>
      <c r="B18" s="9"/>
      <c r="C18" s="9"/>
      <c r="H18" s="9"/>
      <c r="I18" s="9"/>
      <c r="J18" s="9"/>
      <c r="K18" s="9"/>
      <c r="L18" s="9"/>
      <c r="M18" s="9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9" ht="11.25" customHeight="1">
      <c r="A19" s="36"/>
      <c r="B19" s="36"/>
      <c r="C19" s="36"/>
      <c r="G19" s="126" t="s">
        <v>147</v>
      </c>
      <c r="H19" s="9"/>
      <c r="I19" s="9"/>
      <c r="J19" s="9"/>
      <c r="K19" s="9"/>
      <c r="L19" s="9"/>
      <c r="M19" s="9"/>
      <c r="N19" s="16" t="s">
        <v>46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7"/>
      <c r="AC19" s="37"/>
    </row>
    <row r="20" spans="1:29" ht="11.25" customHeight="1">
      <c r="A20" s="36"/>
      <c r="B20" s="36"/>
      <c r="C20" s="36"/>
      <c r="D20" s="37"/>
      <c r="E20" s="37"/>
      <c r="F20" s="37"/>
      <c r="G20" s="37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7"/>
      <c r="AC20" s="37"/>
    </row>
    <row r="21" spans="1:29" ht="11.25" customHeight="1">
      <c r="A21" s="36"/>
      <c r="B21" s="36"/>
      <c r="C21" s="36"/>
      <c r="D21" s="9"/>
      <c r="E21" s="9"/>
      <c r="F21" s="9"/>
      <c r="G21" s="9"/>
      <c r="H21" s="9"/>
      <c r="I21" s="9"/>
      <c r="J21" s="9"/>
      <c r="K21" s="9"/>
      <c r="L21" s="9"/>
      <c r="M21" s="9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7"/>
      <c r="AC21" s="37"/>
    </row>
    <row r="22" spans="1:29" ht="11.25" customHeight="1">
      <c r="A22" s="36"/>
      <c r="B22" s="36"/>
      <c r="C22" s="36"/>
      <c r="H22" s="9"/>
      <c r="I22" s="9"/>
      <c r="J22" s="9"/>
      <c r="K22" s="9"/>
      <c r="L22" s="9"/>
      <c r="M22" s="9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  <c r="AC22" s="37"/>
    </row>
    <row r="23" spans="1:29" ht="11.25" customHeight="1">
      <c r="A23" s="36"/>
      <c r="B23" s="36"/>
      <c r="C23" s="36"/>
      <c r="D23" s="37"/>
      <c r="E23" s="37"/>
      <c r="F23" s="37"/>
      <c r="G23" s="37"/>
      <c r="H23" s="36"/>
      <c r="I23" s="36"/>
      <c r="J23" s="36"/>
      <c r="K23" s="36"/>
      <c r="L23" s="37"/>
      <c r="M23" s="36"/>
      <c r="N23" s="16" t="s">
        <v>45</v>
      </c>
      <c r="O23" s="36"/>
      <c r="P23" s="36"/>
      <c r="Q23" s="36"/>
      <c r="R23" s="36"/>
      <c r="S23" s="36"/>
      <c r="T23" s="36"/>
      <c r="U23" s="272" t="str">
        <f>D16</f>
        <v>T1</v>
      </c>
      <c r="V23" s="272"/>
      <c r="W23" s="272" t="str">
        <f>K16</f>
        <v>T2</v>
      </c>
      <c r="X23" s="272"/>
      <c r="Y23" s="36"/>
      <c r="Z23" s="36"/>
      <c r="AA23" s="36"/>
      <c r="AB23" s="37"/>
      <c r="AC23" s="37"/>
    </row>
    <row r="24" spans="1:29" ht="11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273">
        <f>K40</f>
        <v>2</v>
      </c>
      <c r="V24" s="273"/>
      <c r="W24" s="273">
        <f>O40</f>
        <v>40</v>
      </c>
      <c r="X24" s="273"/>
      <c r="Y24" s="37"/>
      <c r="Z24" s="36"/>
      <c r="AA24" s="36"/>
      <c r="AB24" s="37"/>
      <c r="AC24" s="37"/>
    </row>
    <row r="25" spans="1:29" ht="11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7"/>
      <c r="W25" s="37"/>
      <c r="X25" s="37"/>
      <c r="Y25" s="37"/>
      <c r="Z25" s="37"/>
      <c r="AA25" s="37"/>
      <c r="AB25" s="37"/>
      <c r="AC25" s="37"/>
    </row>
    <row r="26" spans="1:30" ht="11.25" customHeight="1">
      <c r="A26" s="36"/>
      <c r="B26" s="36"/>
      <c r="C26" s="36"/>
      <c r="D26" s="36" t="s">
        <v>175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10" t="s">
        <v>184</v>
      </c>
      <c r="T26" s="36"/>
      <c r="U26" s="36" t="s">
        <v>169</v>
      </c>
      <c r="V26" s="37"/>
      <c r="W26" s="37"/>
      <c r="X26" s="37"/>
      <c r="Y26" s="37"/>
      <c r="Z26" s="37"/>
      <c r="AA26" s="37"/>
      <c r="AB26" s="37"/>
      <c r="AC26" s="37"/>
      <c r="AD26" s="9"/>
    </row>
    <row r="27" spans="1:52" ht="11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7"/>
      <c r="W27" s="37"/>
      <c r="X27" s="37"/>
      <c r="Y27" s="37"/>
      <c r="Z27" s="37"/>
      <c r="AA27" s="37"/>
      <c r="AB27" s="37"/>
      <c r="AC27" s="37"/>
      <c r="AH27" s="24"/>
      <c r="AI27" s="24"/>
      <c r="AJ27" s="9"/>
      <c r="AK27" s="9"/>
      <c r="AL27" s="9"/>
      <c r="AM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1.2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7"/>
      <c r="W28" s="37"/>
      <c r="X28" s="37"/>
      <c r="Y28" s="37"/>
      <c r="Z28" s="37"/>
      <c r="AA28" s="37"/>
      <c r="AB28" s="37"/>
      <c r="AC28" s="37"/>
      <c r="AH28" s="9"/>
      <c r="AI28" s="9"/>
      <c r="AJ28" s="9"/>
      <c r="AK28" s="9"/>
      <c r="AL28" s="9"/>
      <c r="AM28" s="9"/>
      <c r="AN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1.25" customHeight="1">
      <c r="A29" s="36"/>
      <c r="B29" s="36"/>
      <c r="C29" s="36"/>
      <c r="D29" s="127" t="s">
        <v>149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7"/>
      <c r="W29" s="37"/>
      <c r="X29" s="37"/>
      <c r="Y29" s="37"/>
      <c r="Z29" s="37"/>
      <c r="AA29" s="37"/>
      <c r="AB29" s="37"/>
      <c r="AC29" s="36"/>
      <c r="AE29" s="13" t="s">
        <v>130</v>
      </c>
      <c r="AF29" s="13"/>
      <c r="AG29" s="13"/>
      <c r="AH29" s="251" t="s">
        <v>143</v>
      </c>
      <c r="AI29" s="251"/>
      <c r="AJ29" s="251"/>
      <c r="AK29" s="251"/>
      <c r="AL29" s="251"/>
      <c r="AM29" s="251"/>
      <c r="AP29" s="255" t="s">
        <v>119</v>
      </c>
      <c r="AQ29" s="255"/>
      <c r="AR29" s="255"/>
      <c r="AS29" s="255"/>
      <c r="AT29" s="9"/>
      <c r="AU29" s="9"/>
      <c r="AV29" s="114"/>
      <c r="AW29" s="114"/>
      <c r="AX29" s="114"/>
      <c r="AY29" s="114"/>
      <c r="AZ29" s="114"/>
    </row>
    <row r="30" spans="1:52" ht="11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7"/>
      <c r="W30" s="37"/>
      <c r="X30" s="37"/>
      <c r="Y30" s="37"/>
      <c r="Z30" s="37"/>
      <c r="AA30" s="37"/>
      <c r="AB30" s="37"/>
      <c r="AC30" s="36"/>
      <c r="AE30" s="15" t="s">
        <v>131</v>
      </c>
      <c r="AF30" s="15"/>
      <c r="AG30" s="15"/>
      <c r="AH30" s="252" t="s">
        <v>70</v>
      </c>
      <c r="AI30" s="252"/>
      <c r="AJ30" s="252"/>
      <c r="AK30" s="252"/>
      <c r="AL30" s="252"/>
      <c r="AM30" s="252"/>
      <c r="AP30" s="255" t="str">
        <f>IF(AH30&lt;&gt;"Gas Mixture","***",IF(AW51&lt;&gt;"Yes",AU30,AU51))</f>
        <v>Moist Air</v>
      </c>
      <c r="AQ30" s="255"/>
      <c r="AR30" s="255"/>
      <c r="AS30" s="255"/>
      <c r="AT30" s="9"/>
      <c r="AU30" s="115" t="s">
        <v>71</v>
      </c>
      <c r="AV30" s="18"/>
      <c r="AW30" s="18"/>
      <c r="AX30" s="18"/>
      <c r="AY30" s="18"/>
      <c r="AZ30" s="18"/>
    </row>
    <row r="31" spans="1:52" ht="11.25" customHeight="1">
      <c r="A31" s="36"/>
      <c r="B31" s="36"/>
      <c r="C31" s="36"/>
      <c r="D31" s="36" t="str">
        <f>K15</f>
        <v>W2</v>
      </c>
      <c r="E31" s="9" t="s">
        <v>145</v>
      </c>
      <c r="F31" s="9" t="str">
        <f>D15</f>
        <v>W1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7"/>
      <c r="W31" s="37"/>
      <c r="X31" s="37"/>
      <c r="Y31" s="37"/>
      <c r="Z31" s="37"/>
      <c r="AA31" s="37"/>
      <c r="AB31" s="37"/>
      <c r="AC31" s="36"/>
      <c r="AE31" s="15"/>
      <c r="AF31" s="15"/>
      <c r="AG31" s="15"/>
      <c r="AH31" s="250" t="s">
        <v>72</v>
      </c>
      <c r="AI31" s="250"/>
      <c r="AJ31" s="253"/>
      <c r="AK31" s="254" t="s">
        <v>73</v>
      </c>
      <c r="AL31" s="250"/>
      <c r="AM31" s="250"/>
      <c r="AP31" s="117"/>
      <c r="AQ31" s="118" t="s">
        <v>74</v>
      </c>
      <c r="AR31" s="119" t="str">
        <f>AH31</f>
        <v>Inlet</v>
      </c>
      <c r="AS31" s="119" t="str">
        <f>AK31</f>
        <v>Outlet</v>
      </c>
      <c r="AT31" s="39"/>
      <c r="AU31" s="250" t="str">
        <f>AR31</f>
        <v>Inlet</v>
      </c>
      <c r="AV31" s="250"/>
      <c r="AW31" s="250"/>
      <c r="AX31" s="250"/>
      <c r="AY31" s="250"/>
      <c r="AZ31" s="250"/>
    </row>
    <row r="32" spans="1:52" ht="11.2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7"/>
      <c r="W32" s="37"/>
      <c r="X32" s="37"/>
      <c r="Y32" s="37"/>
      <c r="Z32" s="37"/>
      <c r="AA32" s="37"/>
      <c r="AB32" s="37"/>
      <c r="AC32" s="36"/>
      <c r="AE32" s="74" t="s">
        <v>132</v>
      </c>
      <c r="AF32" s="74"/>
      <c r="AG32" s="15"/>
      <c r="AH32" s="249">
        <v>3000</v>
      </c>
      <c r="AI32" s="249"/>
      <c r="AJ32" s="249"/>
      <c r="AK32" s="62" t="s">
        <v>153</v>
      </c>
      <c r="AL32" s="13"/>
      <c r="AM32" s="13"/>
      <c r="AP32" s="63" t="str">
        <f>IF(AH30&lt;&gt;"Gas Mixture","- N/A -","Yes")</f>
        <v>Yes</v>
      </c>
      <c r="AQ32" s="244" t="s">
        <v>75</v>
      </c>
      <c r="AR32" s="244"/>
      <c r="AS32" s="244"/>
      <c r="AT32" s="9"/>
      <c r="AU32" s="64" t="str">
        <f>IF(AP32&lt;&gt;"Yes","- N/A -",IF(AW51="Yes","- N/A -","Yes"))</f>
        <v>- N/A -</v>
      </c>
      <c r="AV32" s="65"/>
      <c r="AW32" s="245" t="s">
        <v>75</v>
      </c>
      <c r="AX32" s="245"/>
      <c r="AY32" s="66" t="s">
        <v>87</v>
      </c>
      <c r="AZ32" s="67" t="s">
        <v>88</v>
      </c>
    </row>
    <row r="33" spans="1:52" ht="11.25" customHeight="1">
      <c r="A33" s="36"/>
      <c r="B33" s="36"/>
      <c r="C33" s="36"/>
      <c r="D33" s="36" t="str">
        <f>H14</f>
        <v>Q</v>
      </c>
      <c r="E33" s="36" t="s">
        <v>145</v>
      </c>
      <c r="F33" s="10" t="str">
        <f>D13</f>
        <v>ma</v>
      </c>
      <c r="G33" s="10" t="s">
        <v>150</v>
      </c>
      <c r="H33" s="10" t="str">
        <f>K14</f>
        <v>h2</v>
      </c>
      <c r="I33" s="10" t="s">
        <v>152</v>
      </c>
      <c r="J33" s="10" t="str">
        <f>D14</f>
        <v>h1</v>
      </c>
      <c r="K33" s="10" t="s">
        <v>151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E33" s="15"/>
      <c r="AF33" s="15" t="s">
        <v>120</v>
      </c>
      <c r="AG33" s="15"/>
      <c r="AH33" s="246">
        <f>AH32</f>
        <v>3000</v>
      </c>
      <c r="AI33" s="246"/>
      <c r="AJ33" s="247"/>
      <c r="AK33" s="256">
        <f>AH32</f>
        <v>3000</v>
      </c>
      <c r="AL33" s="246"/>
      <c r="AM33" s="246"/>
      <c r="AN33" s="9"/>
      <c r="AP33" s="68" t="str">
        <f>IF(AP32&lt;&gt;"Yes","***",IF(AW51&lt;&gt;"Yes",AU33,AU57))</f>
        <v>H2O</v>
      </c>
      <c r="AQ33" s="69">
        <f>IF(AP32&lt;&gt;"Yes","***",IF(AW51&lt;&gt;"Yes",IF(AQ32=AY32,AY33,AZ33),IF(AQ32=AW56,AW57,AX57)))</f>
        <v>0.696756195696393</v>
      </c>
      <c r="AR33" s="70">
        <f>IF(AP32&lt;&gt;"Yes","***",gmconv(AP33,AP34,AP35,AP36,AP37,AP38,AP39,AP40,AP41,AP42,AQ33,AQ34,AQ35,AQ36,AQ37,AQ38,AQ39,AQ40,AQ41,AQ42,AQ32,IF(AQ32="volume%",14,15)))</f>
        <v>0.696756195696393</v>
      </c>
      <c r="AS33" s="70">
        <f>IF(AP32&lt;&gt;"Yes","***",gmconv(AP33,AP34,AP35,AP36,AP37,AP38,AP39,AP40,AP41,AP42,AQ33,AQ34,AQ35,AQ36,AQ37,AQ38,AQ39,AQ40,AQ41,AQ42,AQ32,IF(AQ32="volume%",14,15)))</f>
        <v>0.696756195696393</v>
      </c>
      <c r="AT33" s="9"/>
      <c r="AU33" s="71" t="s">
        <v>76</v>
      </c>
      <c r="AV33" s="71"/>
      <c r="AW33" s="248">
        <v>3.85</v>
      </c>
      <c r="AX33" s="248"/>
      <c r="AY33" s="72" t="str">
        <f>IF(AU32&lt;&gt;"Yes","***",IF(OR(AU33="",AW33="",AW33&lt;=0),0,gmconv(AU33,AU34,AU35,AU36,AU37,AU38,AU39,AU40,AU41,AU42,AW33,AW34,AW35,AW36,AW37,AW38,AW39,AW40,AW41,AW42,AW32,14)))</f>
        <v>***</v>
      </c>
      <c r="AZ33" s="73" t="str">
        <f>IF(AU32&lt;&gt;"Yes","***",IF(OR(AU33="",AW33="",AW33&lt;=0),0,gmconv(AU33,AU34,AU35,AU36,AU37,AU38,AU39,AU40,AU41,AU42,AW33,AW34,AW35,AW36,AW37,AW38,AW39,AW40,AW41,AW42,AW32,15)))</f>
        <v>***</v>
      </c>
    </row>
    <row r="34" spans="1:52" ht="11.2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E34" s="74"/>
      <c r="AF34" s="74" t="s">
        <v>121</v>
      </c>
      <c r="AG34" s="15"/>
      <c r="AH34" s="246">
        <f>AH32-AH33</f>
        <v>0</v>
      </c>
      <c r="AI34" s="246"/>
      <c r="AJ34" s="247"/>
      <c r="AK34" s="256">
        <f>AH32-AK33</f>
        <v>0</v>
      </c>
      <c r="AL34" s="246"/>
      <c r="AM34" s="246"/>
      <c r="AN34" s="9"/>
      <c r="AO34" s="9"/>
      <c r="AP34" s="74" t="str">
        <f>IF(AP32&lt;&gt;"Yes","***",IF(AW51&lt;&gt;"Yes",AU34,AU58))</f>
        <v>N2</v>
      </c>
      <c r="AQ34" s="75">
        <f>IF(AP32&lt;&gt;"Yes","***",IF(AW51&lt;&gt;"Yes",IF(AQ32=AY32,AY34,AZ34),IF(AQ32=AW56,AW58,AX58)))</f>
        <v>77.54227116028724</v>
      </c>
      <c r="AR34" s="76">
        <f>IF(AP32&lt;&gt;"Yes","***",gmconv(AP33,AP34,AP35,AP36,AP37,AP38,AP39,AP40,AP41,AP42,AQ33,AQ34,AQ35,AQ36,AQ37,AQ38,AQ39,AQ40,AQ41,AQ42,AQ32,IF(AQ32="volume%",24,25)))</f>
        <v>77.54227116028724</v>
      </c>
      <c r="AS34" s="76">
        <f>IF(AP32&lt;&gt;"Yes","***",gmconv(AP33,AP34,AP35,AP36,AP37,AP38,AP39,AP40,AP41,AP42,AQ33,AQ34,AQ35,AQ36,AQ37,AQ38,AQ39,AQ40,AQ41,AQ42,AQ32,IF(AQ32="volume%",24,25)))</f>
        <v>77.54227116028724</v>
      </c>
      <c r="AT34" s="9"/>
      <c r="AU34" s="15" t="s">
        <v>77</v>
      </c>
      <c r="AV34" s="15"/>
      <c r="AW34" s="227">
        <v>0</v>
      </c>
      <c r="AX34" s="227"/>
      <c r="AY34" s="77" t="str">
        <f>IF(AU32&lt;&gt;"Yes","***",IF(OR(AU34="",AW34="",AW34&lt;=0),0,gmconv(AU33,AU34,AU35,AU36,AU37,AU38,AU39,AU40,AU41,AU42,AW33,AW34,AW35,AW36,AW37,AW38,AW39,AW40,AW41,AW42,AW32,24)))</f>
        <v>***</v>
      </c>
      <c r="AZ34" s="75" t="str">
        <f>IF(AU32&lt;&gt;"Yes","***",IF(OR(AU34="",AW34="",AW34&lt;=0),0,gmconv(AU33,AU34,AU35,AU36,AU37,AU38,AU39,AU40,AU41,AU42,AW33,AW34,AW35,AW36,AW37,AW38,AW39,AW40,AW41,AW42,AW32,25)))</f>
        <v>***</v>
      </c>
    </row>
    <row r="35" spans="1:52" ht="11.2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7"/>
      <c r="W35" s="36"/>
      <c r="X35" s="36"/>
      <c r="Y35" s="36"/>
      <c r="Z35" s="36"/>
      <c r="AA35" s="36"/>
      <c r="AB35" s="36"/>
      <c r="AC35" s="37"/>
      <c r="AE35" s="15"/>
      <c r="AF35" s="122" t="s">
        <v>139</v>
      </c>
      <c r="AG35" s="15"/>
      <c r="AH35" s="246">
        <f>AR51</f>
        <v>0</v>
      </c>
      <c r="AI35" s="246"/>
      <c r="AJ35" s="247"/>
      <c r="AK35" s="241">
        <f>AS51</f>
        <v>0</v>
      </c>
      <c r="AL35" s="242"/>
      <c r="AM35" s="242"/>
      <c r="AN35" s="9" t="s">
        <v>85</v>
      </c>
      <c r="AO35" s="9"/>
      <c r="AP35" s="74" t="str">
        <f>IF(AP32&lt;&gt;"Yes","***",IF(AW51&lt;&gt;"Yes",AU35,AU59))</f>
        <v>O2</v>
      </c>
      <c r="AQ35" s="75">
        <f>IF(AP32&lt;&gt;"Yes","***",IF(AW51&lt;&gt;"Yes",IF(AQ32=AY32,AY35,AZ35),IF(AQ32=AW56,AW59,AX59)))</f>
        <v>20.80227036726132</v>
      </c>
      <c r="AR35" s="76">
        <f>IF(AP32&lt;&gt;"Yes","***",gmconv(AP33,AP34,AP35,AP36,AP37,AP38,AP39,AP40,AP41,AP42,AQ33,AQ34,AQ35,AQ36,AQ37,AQ38,AQ39,AQ40,AQ41,AQ42,AQ32,IF(AQ32="volume%",34,35)))</f>
        <v>20.80227036726132</v>
      </c>
      <c r="AS35" s="76">
        <f>IF(AP32&lt;&gt;"Yes","***",gmconv(AP33,AP34,AP35,AP36,AP37,AP38,AP39,AP40,AP41,AP42,AQ33,AQ34,AQ35,AQ36,AQ37,AQ38,AQ39,AQ40,AQ41,AQ42,AQ32,IF(AQ32="volume%",34,35)))</f>
        <v>20.80227036726132</v>
      </c>
      <c r="AT35" s="9"/>
      <c r="AU35" s="15" t="s">
        <v>78</v>
      </c>
      <c r="AV35" s="15"/>
      <c r="AW35" s="227">
        <v>76</v>
      </c>
      <c r="AX35" s="227"/>
      <c r="AY35" s="77" t="str">
        <f>IF(AU32&lt;&gt;"Yes","***",IF(OR(AU35="",AW35="",AW35&lt;=0),0,gmconv(AU33,AU34,AU35,AU36,AU37,AU38,AU39,AU40,AU41,AU42,AW33,AW34,AW35,AW36,AW37,AW38,AW39,AW40,AW41,AW42,AW32,34)))</f>
        <v>***</v>
      </c>
      <c r="AZ35" s="75" t="str">
        <f>IF(AU32&lt;&gt;"Yes","***",IF(OR(AU35="",AW35="",AW35&lt;=0),0,gmconv(AU33,AU34,AU35,AU36,AU37,AU38,AU39,AU40,AU41,AU42,AW33,AW34,AW35,AW36,AW37,AW38,AW39,AW40,AW41,AW42,AW32,35)))</f>
        <v>***</v>
      </c>
    </row>
    <row r="36" spans="1:52" ht="11.25" customHeight="1">
      <c r="A36" s="36"/>
      <c r="B36" s="36"/>
      <c r="C36" s="36"/>
      <c r="D36" s="16" t="s">
        <v>259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X36" s="36"/>
      <c r="Y36" s="36"/>
      <c r="Z36" s="36"/>
      <c r="AA36" s="36"/>
      <c r="AB36" s="36"/>
      <c r="AE36" s="15" t="s">
        <v>133</v>
      </c>
      <c r="AF36" s="15"/>
      <c r="AG36" s="15"/>
      <c r="AH36" s="258">
        <v>2</v>
      </c>
      <c r="AI36" s="258"/>
      <c r="AJ36" s="259"/>
      <c r="AK36" s="260">
        <v>40</v>
      </c>
      <c r="AL36" s="258"/>
      <c r="AM36" s="258"/>
      <c r="AN36" s="9" t="s">
        <v>82</v>
      </c>
      <c r="AO36" s="9"/>
      <c r="AP36" s="74" t="str">
        <f>IF(AP32&lt;&gt;"Yes","***",IF(AW51&lt;&gt;"Yes",AU36,AU60))</f>
        <v>Ar</v>
      </c>
      <c r="AQ36" s="75">
        <f>IF(AP32&lt;&gt;"Yes","***",IF(AW51&lt;&gt;"Yes",IF(AQ32=AY32,AY36,AZ36),IF(AQ32=AW56,AW60,AX60)))</f>
        <v>0.9275201227358778</v>
      </c>
      <c r="AR36" s="76">
        <f>IF(AP32&lt;&gt;"Yes","***",gmconv(AP33,AP34,AP35,AP36,AP37,AP38,AP39,AP40,AP41,AP42,AQ33,AQ34,AQ35,AQ36,AQ37,AQ38,AQ39,AQ40,AQ41,AQ42,AQ32,IF(AQ32="volume%",44,45)))</f>
        <v>0.9275201227358778</v>
      </c>
      <c r="AS36" s="76">
        <f>IF(AP32&lt;&gt;"Yes","***",gmconv(AP33,AP34,AP35,AP36,AP37,AP38,AP39,AP40,AP41,AP42,AQ33,AQ34,AQ35,AQ36,AQ37,AQ38,AQ39,AQ40,AQ41,AQ42,AQ32,IF(AQ32="volume%",44,45)))</f>
        <v>0.9275201227358778</v>
      </c>
      <c r="AT36" s="9"/>
      <c r="AU36" s="15" t="s">
        <v>79</v>
      </c>
      <c r="AV36" s="15"/>
      <c r="AW36" s="227">
        <v>20.15</v>
      </c>
      <c r="AX36" s="227"/>
      <c r="AY36" s="77" t="str">
        <f>IF(AU32&lt;&gt;"Yes","***",IF(OR(AU36="",AW36="",AW36&lt;=0),0,gmconv(AU33,AU34,AU35,AU36,AU37,AU38,AU39,AU40,AU41,AU42,AW33,AW34,AW35,AW36,AW37,AW38,AW39,AW40,AW41,AW42,AW32,44)))</f>
        <v>***</v>
      </c>
      <c r="AZ36" s="75" t="str">
        <f>IF(AU32&lt;&gt;"Yes","***",IF(OR(AU36="",AW36="",AW36&lt;=0),0,gmconv(AU33,AU34,AU35,AU36,AU37,AU38,AU39,AU40,AU41,AU42,AW33,AW34,AW35,AW36,AW37,AW38,AW39,AW40,AW41,AW42,AW32,45)))</f>
        <v>***</v>
      </c>
    </row>
    <row r="37" spans="1:52" ht="11.25" customHeight="1">
      <c r="A37" s="9"/>
      <c r="B37" s="9"/>
      <c r="C37" s="9"/>
      <c r="D37" s="13" t="str">
        <f>AE29</f>
        <v>Fluid Name</v>
      </c>
      <c r="E37" s="13"/>
      <c r="F37" s="13"/>
      <c r="G37" s="13"/>
      <c r="H37" s="13"/>
      <c r="I37" s="13"/>
      <c r="J37" s="13"/>
      <c r="K37" s="13" t="str">
        <f>AH29</f>
        <v>Flue Gas</v>
      </c>
      <c r="L37" s="13"/>
      <c r="M37" s="13"/>
      <c r="N37" s="13"/>
      <c r="O37" s="13"/>
      <c r="P37" s="13"/>
      <c r="Q37" s="13"/>
      <c r="R37" s="13"/>
      <c r="S37" s="13"/>
      <c r="T37" s="13"/>
      <c r="U37" s="9"/>
      <c r="AE37" s="221" t="s">
        <v>134</v>
      </c>
      <c r="AF37" s="45" t="s">
        <v>141</v>
      </c>
      <c r="AG37" s="15"/>
      <c r="AH37" s="80">
        <v>0</v>
      </c>
      <c r="AI37" s="80"/>
      <c r="AJ37" s="116">
        <f>AH37-IF(AN38&lt;&gt;"Absolute",0,pressconv(1.033227,"kg/cm2.g",AN37))</f>
        <v>0</v>
      </c>
      <c r="AK37" s="125"/>
      <c r="AL37" s="15"/>
      <c r="AM37" s="15"/>
      <c r="AN37" s="9" t="s">
        <v>142</v>
      </c>
      <c r="AO37" s="9"/>
      <c r="AP37" s="74" t="str">
        <f>IF(AP32&lt;&gt;"Yes","***",IF(AW51&lt;&gt;"Yes",AU37,AU61))</f>
        <v>CO2</v>
      </c>
      <c r="AQ37" s="75">
        <f>IF(AP32&lt;&gt;"Yes","***",IF(AW51&lt;&gt;"Yes",IF(AQ32=AY32,AY37,AZ37),IF(AQ32=AW56,AW61,AX61)))</f>
        <v>0.031182154019171904</v>
      </c>
      <c r="AR37" s="76">
        <f>IF(AP32&lt;&gt;"Yes","***",gmconv(AP33,AP34,AP35,AP36,AP37,AP38,AP39,AP40,AP41,AP42,AQ33,AQ34,AQ35,AQ36,AQ37,AQ38,AQ39,AQ40,AQ41,AQ42,AQ32,IF(AQ32="volume%",54,55)))</f>
        <v>0.031182154019171904</v>
      </c>
      <c r="AS37" s="76">
        <f>IF(AP32&lt;&gt;"Yes","***",gmconv(AP33,AP34,AP35,AP36,AP37,AP38,AP39,AP40,AP41,AP42,AQ33,AQ34,AQ35,AQ36,AQ37,AQ38,AQ39,AQ40,AQ41,AQ42,AQ32,IF(AQ32="volume%",54,55)))</f>
        <v>0.031182154019171904</v>
      </c>
      <c r="AT37" s="9"/>
      <c r="AU37" s="15" t="s">
        <v>80</v>
      </c>
      <c r="AV37" s="15"/>
      <c r="AW37" s="227">
        <v>0</v>
      </c>
      <c r="AX37" s="227"/>
      <c r="AY37" s="77" t="str">
        <f>IF(AU32&lt;&gt;"Yes","***",IF(OR(AU37="",AW37="",AW37&lt;=0),0,gmconv(AU33,AU34,AU35,AU36,AU37,AU38,AU39,AU40,AU41,AU42,AW33,AW34,AW35,AW36,AW37,AW38,AW39,AW40,AW41,AW42,AW32,54)))</f>
        <v>***</v>
      </c>
      <c r="AZ37" s="75" t="str">
        <f>IF(AU32&lt;&gt;"Yes","***",IF(OR(AU37="",AW37="",AW37&lt;=0),0,gmconv(AU33,AU34,AU35,AU36,AU37,AU38,AU39,AU40,AU41,AU42,AW33,AW34,AW35,AW36,AW37,AW38,AW39,AW40,AW41,AW42,AW32,55)))</f>
        <v>***</v>
      </c>
    </row>
    <row r="38" spans="1:52" ht="11.25" customHeight="1">
      <c r="A38" s="9"/>
      <c r="B38" s="9"/>
      <c r="C38" s="9"/>
      <c r="D38" s="15"/>
      <c r="E38" s="15"/>
      <c r="F38" s="15"/>
      <c r="G38" s="15"/>
      <c r="H38" s="15"/>
      <c r="I38" s="15"/>
      <c r="J38" s="15"/>
      <c r="K38" s="225" t="s">
        <v>168</v>
      </c>
      <c r="L38" s="225"/>
      <c r="M38" s="225"/>
      <c r="N38" s="15"/>
      <c r="O38" s="225" t="s">
        <v>164</v>
      </c>
      <c r="P38" s="225"/>
      <c r="Q38" s="225"/>
      <c r="R38" s="15"/>
      <c r="S38" s="15"/>
      <c r="T38" s="15"/>
      <c r="U38" s="9"/>
      <c r="AE38" s="221"/>
      <c r="AF38" s="121" t="s">
        <v>140</v>
      </c>
      <c r="AG38" s="15"/>
      <c r="AH38" s="15"/>
      <c r="AI38" s="124"/>
      <c r="AJ38" s="80">
        <v>0</v>
      </c>
      <c r="AK38" s="78">
        <f>AH37-AJ38</f>
        <v>0</v>
      </c>
      <c r="AL38" s="59"/>
      <c r="AM38" s="116">
        <f>AJ37-AJ38</f>
        <v>0</v>
      </c>
      <c r="AN38" s="39" t="s">
        <v>84</v>
      </c>
      <c r="AO38" s="9"/>
      <c r="AP38" s="74">
        <f>IF(AP32&lt;&gt;"Yes","***",IF(AW51&lt;&gt;"Yes",AU38,""))</f>
      </c>
      <c r="AQ38" s="75">
        <f>IF(AP32&lt;&gt;"Yes","***",IF(AW51&lt;&gt;"Yes",IF(AQ32=AY32,AY38,AZ38),0))</f>
        <v>0</v>
      </c>
      <c r="AR38" s="76">
        <f>IF(AP32&lt;&gt;"Yes","***",gmconv(AP33,AP34,AP35,AP36,AP37,AP38,AP39,AP40,AP41,AP42,AQ33,AQ34,AQ35,AQ36,AQ37,AQ38,AQ39,AQ40,AQ41,AQ42,AQ32,IF(AQ32="volume%",64,65)))</f>
        <v>0</v>
      </c>
      <c r="AS38" s="76">
        <f>IF(AP32&lt;&gt;"Yes","***",gmconv(AP33,AP34,AP35,AP36,AP37,AP38,AP39,AP40,AP41,AP42,AQ33,AQ34,AQ35,AQ36,AQ37,AQ38,AQ39,AQ40,AQ41,AQ42,AQ32,IF(AQ32="volume%",64,65)))</f>
        <v>0</v>
      </c>
      <c r="AT38" s="9"/>
      <c r="AU38" s="15" t="s">
        <v>81</v>
      </c>
      <c r="AV38" s="15"/>
      <c r="AW38" s="227"/>
      <c r="AX38" s="227"/>
      <c r="AY38" s="77" t="str">
        <f>IF(AU32&lt;&gt;"Yes","***",IF(OR(AU38="",AW38="",AW38&lt;=0),0,gmconv(AU33,AU34,AU35,AU36,AU37,AU38,AU39,AU40,AU41,AU42,AW33,AW34,AW35,AW36,AW37,AW38,AW39,AW40,AW41,AW42,AW32,64)))</f>
        <v>***</v>
      </c>
      <c r="AZ38" s="75" t="str">
        <f>IF(AU32&lt;&gt;"Yes","***",IF(OR(AU38="",AW38="",AW38&lt;=0),0,gmconv(AU33,AU34,AU35,AU36,AU37,AU38,AU39,AU40,AU41,AU42,AW33,AW34,AW35,AW36,AW37,AW38,AW39,AW40,AW41,AW42,AW32,65)))</f>
        <v>***</v>
      </c>
    </row>
    <row r="39" spans="1:52" ht="11.25" customHeight="1">
      <c r="A39" s="9"/>
      <c r="B39" s="9"/>
      <c r="C39" s="9"/>
      <c r="D39" s="15" t="s">
        <v>163</v>
      </c>
      <c r="E39" s="15"/>
      <c r="F39" s="15"/>
      <c r="G39" s="15"/>
      <c r="H39" s="15"/>
      <c r="I39" s="15"/>
      <c r="J39" s="91"/>
      <c r="K39" s="226">
        <f>AH32</f>
        <v>3000</v>
      </c>
      <c r="L39" s="226"/>
      <c r="M39" s="226"/>
      <c r="N39" s="15"/>
      <c r="O39" s="222">
        <f>IF(R39="m3/h",O44,IF(R39="kg/h",AK43,IF(R39="Nm3/h",AK43/AK42)))</f>
        <v>3414.319462111576</v>
      </c>
      <c r="P39" s="222"/>
      <c r="Q39" s="222"/>
      <c r="R39" s="15" t="str">
        <f>AK32</f>
        <v>m3/h</v>
      </c>
      <c r="S39" s="15"/>
      <c r="T39" s="15"/>
      <c r="U39" s="9"/>
      <c r="AE39" s="15" t="s">
        <v>107</v>
      </c>
      <c r="AF39" s="15"/>
      <c r="AG39" s="15"/>
      <c r="AH39" s="239">
        <f>IF(AH30&lt;&gt;"Gas Mixture","***",tempconv(AR47,AT47,AN39))</f>
        <v>2.0000000000001705</v>
      </c>
      <c r="AI39" s="239"/>
      <c r="AJ39" s="261"/>
      <c r="AK39" s="262">
        <f>IF(AH30&lt;&gt;"Gas Mixture","***",tempconv(AS47,AT47,AN39))</f>
        <v>2.0000000000001705</v>
      </c>
      <c r="AL39" s="239"/>
      <c r="AM39" s="239"/>
      <c r="AN39" s="9" t="str">
        <f>AN36</f>
        <v>℃</v>
      </c>
      <c r="AO39" s="9"/>
      <c r="AP39" s="74">
        <f>IF(AP32&lt;&gt;"Yes","***",IF(AW51&lt;&gt;"Yes",AU39,""))</f>
      </c>
      <c r="AQ39" s="75">
        <f>IF(AP32&lt;&gt;"Yes","***",IF(AW51&lt;&gt;"Yes",IF(AQ32=AY32,AY39,AZ39),0))</f>
        <v>0</v>
      </c>
      <c r="AR39" s="76">
        <f>IF(AP32&lt;&gt;"Yes","***",gmconv(AP33,AP34,AP35,AP36,AP37,AP38,AP39,AP40,AP41,AP42,AQ33,AQ34,AQ35,AQ36,AQ37,AQ38,AQ39,AQ40,AQ41,AQ42,AQ32,IF(AQ32="volume%",74,75)))</f>
        <v>0</v>
      </c>
      <c r="AS39" s="76">
        <f>IF(AP32&lt;&gt;"Yes","***",gmconv(AP33,AP34,AP35,AP36,AP37,AP38,AP39,AP40,AP41,AP42,AQ33,AQ34,AQ35,AQ36,AQ37,AQ38,AQ39,AQ40,AQ41,AQ42,AQ32,IF(AQ32="volume%",74,75)))</f>
        <v>0</v>
      </c>
      <c r="AT39" s="9"/>
      <c r="AU39" s="15" t="s">
        <v>81</v>
      </c>
      <c r="AV39" s="15"/>
      <c r="AW39" s="227"/>
      <c r="AX39" s="227"/>
      <c r="AY39" s="77" t="str">
        <f>IF(AU32&lt;&gt;"Yes","***",IF(OR(AU39="",AW39="",AW39&lt;=0),0,gmconv(AU33,AU34,AU35,AU36,AU37,AU38,AU39,AU40,AU41,AU42,AW33,AW34,AW35,AW36,AW37,AW38,AW39,AW40,AW41,AW42,AW32,74)))</f>
        <v>***</v>
      </c>
      <c r="AZ39" s="75" t="str">
        <f>IF(AU32&lt;&gt;"Yes","***",IF(OR(AU39="",AW39="",AW39&lt;=0),0,gmconv(AU33,AU34,AU35,AU36,AU37,AU38,AU39,AU40,AU41,AU42,AW33,AW34,AW35,AW36,AW37,AW38,AW39,AW40,AW41,AW42,AW32,75)))</f>
        <v>***</v>
      </c>
    </row>
    <row r="40" spans="1:52" ht="11.25" customHeight="1">
      <c r="A40" s="9"/>
      <c r="B40" s="9"/>
      <c r="C40" s="9"/>
      <c r="D40" s="15" t="str">
        <f>AE36</f>
        <v>Temperature</v>
      </c>
      <c r="E40" s="15"/>
      <c r="F40" s="15"/>
      <c r="G40" s="15"/>
      <c r="H40" s="15"/>
      <c r="I40" s="15"/>
      <c r="J40" s="91" t="str">
        <f>D16</f>
        <v>T1</v>
      </c>
      <c r="K40" s="196">
        <f>AH36</f>
        <v>2</v>
      </c>
      <c r="L40" s="196"/>
      <c r="M40" s="196"/>
      <c r="N40" s="91" t="str">
        <f>K16</f>
        <v>T2</v>
      </c>
      <c r="O40" s="196">
        <f>AK36</f>
        <v>40</v>
      </c>
      <c r="P40" s="196"/>
      <c r="Q40" s="196"/>
      <c r="R40" s="15" t="str">
        <f>AN36</f>
        <v>℃</v>
      </c>
      <c r="S40" s="15"/>
      <c r="T40" s="15"/>
      <c r="U40" s="9"/>
      <c r="AE40" s="15" t="s">
        <v>135</v>
      </c>
      <c r="AF40" s="15"/>
      <c r="AG40" s="15"/>
      <c r="AH40" s="229">
        <f>gmprop(AH36,AN36,AJ37,AN37,AP33,AP34,AP35,AP36,AP37,AP38,AP39,AP40,AP41,AP42,AR33,AR34,AR35,AR36,AR37,AR38,AR39,AR40,AR41,AR42,AQ32,-1)</f>
        <v>28.88847444391228</v>
      </c>
      <c r="AI40" s="229"/>
      <c r="AJ40" s="230"/>
      <c r="AK40" s="232">
        <f>gmprop(AK36,AN36,AM38,AN37,AP33,AP34,AP35,AP36,AP37,AP38,AP39,AP40,AP41,AP42,AS33,AS34,AS35,AS36,AS37,AS38,AS39,AS40,AS41,AS42,AQ32,-1)</f>
        <v>28.88847444391228</v>
      </c>
      <c r="AL40" s="229"/>
      <c r="AM40" s="229"/>
      <c r="AN40" s="9"/>
      <c r="AO40" s="9"/>
      <c r="AP40" s="74">
        <f>IF(AP32&lt;&gt;"Yes","***",IF(AW51&lt;&gt;"Yes",AU40,""))</f>
      </c>
      <c r="AQ40" s="75">
        <f>IF(AP32&lt;&gt;"Yes","***",IF(AW51&lt;&gt;"Yes",IF(AQ32=AY32,AY40,AZ40),0))</f>
        <v>0</v>
      </c>
      <c r="AR40" s="76">
        <f>IF(AP32&lt;&gt;"Yes","***",gmconv(AP33,AP34,AP35,AP36,AP37,AP38,AP39,AP40,AP41,AP42,AQ33,AQ34,AQ35,AQ36,AQ37,AQ38,AQ39,AQ40,AQ41,AQ42,AQ32,IF(AQ32="volume%",84,85)))</f>
        <v>0</v>
      </c>
      <c r="AS40" s="76">
        <f>IF(AP32&lt;&gt;"Yes","***",gmconv(AP33,AP34,AP35,AP36,AP37,AP38,AP39,AP40,AP41,AP42,AQ33,AQ34,AQ35,AQ36,AQ37,AQ38,AQ39,AQ40,AQ41,AQ42,AQ32,IF(AQ32="volume%",84,85)))</f>
        <v>0</v>
      </c>
      <c r="AT40" s="9"/>
      <c r="AU40" s="15" t="s">
        <v>81</v>
      </c>
      <c r="AV40" s="15"/>
      <c r="AW40" s="227"/>
      <c r="AX40" s="227"/>
      <c r="AY40" s="77" t="str">
        <f>IF(AU32&lt;&gt;"Yes","***",IF(OR(AU40="",AW40="",AW40&lt;=0),0,gmconv(AU33,AU34,AU35,AU36,AU37,AU38,AU39,AU40,AU41,AU42,AW33,AW34,AW35,AW36,AW37,AW38,AW39,AW40,AW41,AW42,AW32,84)))</f>
        <v>***</v>
      </c>
      <c r="AZ40" s="75" t="str">
        <f>IF(AU32&lt;&gt;"Yes","***",IF(OR(AU40="",AW40="",AW40&lt;=0),0,gmconv(AU33,AU34,AU35,AU36,AU37,AU38,AU39,AU40,AU41,AU42,AW33,AW34,AW35,AW36,AW37,AW38,AW39,AW40,AW41,AW42,AW32,85)))</f>
        <v>***</v>
      </c>
    </row>
    <row r="41" spans="1:52" ht="11.25" customHeight="1">
      <c r="A41" s="9"/>
      <c r="B41" s="9"/>
      <c r="C41" s="9"/>
      <c r="D41" s="74" t="s">
        <v>166</v>
      </c>
      <c r="E41" s="74"/>
      <c r="F41" s="74"/>
      <c r="G41" s="74"/>
      <c r="H41" s="74"/>
      <c r="I41" s="74"/>
      <c r="J41" s="91"/>
      <c r="K41" s="196">
        <f>AJ37</f>
        <v>0</v>
      </c>
      <c r="L41" s="196"/>
      <c r="M41" s="196"/>
      <c r="N41" s="91"/>
      <c r="O41" s="196">
        <f>AM38</f>
        <v>0</v>
      </c>
      <c r="P41" s="196"/>
      <c r="Q41" s="196"/>
      <c r="R41" s="74" t="str">
        <f>AN37</f>
        <v>mmH2O</v>
      </c>
      <c r="S41" s="15"/>
      <c r="T41" s="15"/>
      <c r="U41" s="9"/>
      <c r="AE41" s="224" t="s">
        <v>129</v>
      </c>
      <c r="AF41" s="45" t="s">
        <v>122</v>
      </c>
      <c r="AG41" s="45"/>
      <c r="AH41" s="229">
        <f>gmprop(AH36,AN36,AJ37,AN37,AP33,AP34,AP35,AP36,AP37,AP38,AP39,AP40,AP41,AP42,AR33,AR34,AR35,AR36,AR37,AR38,AR39,AR40,AR41,AR42,AQ32,2)</f>
        <v>1.2794997992038408</v>
      </c>
      <c r="AI41" s="230"/>
      <c r="AJ41" s="232">
        <f>gmprop((AH36+AK36)/2,AN36,(AJ37+AM38)/2,AN37,AP33,AP34,AP35,AP36,AP37,AP38,AP39,AP40,AP41,AP42,AR33,AR34,AR35,AR36,AR37,AR38,AR39,AR40,AR41,AR42,AQ32,2)</f>
        <v>1.196853203300822</v>
      </c>
      <c r="AK41" s="230"/>
      <c r="AL41" s="232">
        <f>gmprop(AK36,AN36,AM38,AN37,AP33,AP34,AP35,AP36,AP37,AP38,AP39,AP40,AP41,AP42,AS33,AS34,AS35,AS36,AS37,AS38,AS39,AS40,AS41,AS42,AQ32,2)</f>
        <v>1.1242355732107194</v>
      </c>
      <c r="AM41" s="229"/>
      <c r="AN41" s="9" t="s">
        <v>123</v>
      </c>
      <c r="AO41" s="9"/>
      <c r="AP41" s="74">
        <f>IF(AP32&lt;&gt;"Yes","***",IF(AW51&lt;&gt;"Yes",AU41,""))</f>
      </c>
      <c r="AQ41" s="75">
        <f>IF(AP32&lt;&gt;"Yes","***",IF(AW51&lt;&gt;"Yes",IF(AQ32=AY32,AY41,AZ41),0))</f>
        <v>0</v>
      </c>
      <c r="AR41" s="76">
        <f>IF(AP32&lt;&gt;"Yes","***",gmconv(AP33,AP34,AP35,AP36,AP37,AP38,AP39,AP40,AP41,AP42,AQ33,AQ34,AQ35,AQ36,AQ37,AQ38,AQ39,AQ40,AQ41,AQ42,AQ32,IF(AQ32="volume%",94,95)))</f>
        <v>0</v>
      </c>
      <c r="AS41" s="76">
        <f>IF(AP32&lt;&gt;"Yes","***",gmconv(AP33,AP34,AP35,AP36,AP37,AP38,AP39,AP40,AP41,AP42,AQ33,AQ34,AQ35,AQ36,AQ37,AQ38,AQ39,AQ40,AQ41,AQ42,AQ32,IF(AQ32="volume%",94,95)))</f>
        <v>0</v>
      </c>
      <c r="AT41" s="9"/>
      <c r="AU41" s="15" t="s">
        <v>81</v>
      </c>
      <c r="AV41" s="15"/>
      <c r="AW41" s="227"/>
      <c r="AX41" s="227"/>
      <c r="AY41" s="77" t="str">
        <f>IF(AU32&lt;&gt;"Yes","***",IF(OR(AU41="",AW41="",AW41&lt;=0),0,gmconv(AU33,AU34,AU35,AU36,AU37,AU38,AU39,AU40,AU41,AU42,AW33,AW34,AW35,AW36,AW37,AW38,AW39,AW40,AW41,AW42,AW32,94)))</f>
        <v>***</v>
      </c>
      <c r="AZ41" s="75" t="str">
        <f>IF(AU32&lt;&gt;"Yes","***",IF(OR(AU41="",AW41="",AW41&lt;=0),0,gmconv(AU33,AU34,AU35,AU36,AU37,AU38,AU39,AU40,AU41,AU42,AW33,AW34,AW35,AW36,AW37,AW38,AW39,AW40,AW41,AW42,AW32,95)))</f>
        <v>***</v>
      </c>
    </row>
    <row r="42" spans="1:52" ht="11.25" customHeight="1">
      <c r="A42" s="9"/>
      <c r="B42" s="9"/>
      <c r="C42" s="9"/>
      <c r="D42" s="74" t="str">
        <f>AE50</f>
        <v>Relative Humidity</v>
      </c>
      <c r="E42" s="74"/>
      <c r="F42" s="74"/>
      <c r="G42" s="74"/>
      <c r="H42" s="74"/>
      <c r="I42" s="74"/>
      <c r="J42" s="74"/>
      <c r="K42" s="271">
        <f>AH50</f>
        <v>100</v>
      </c>
      <c r="L42" s="271"/>
      <c r="M42" s="271"/>
      <c r="N42" s="74"/>
      <c r="O42" s="271">
        <f>AK50</f>
        <v>9.560496154027975</v>
      </c>
      <c r="P42" s="271"/>
      <c r="Q42" s="271"/>
      <c r="R42" s="74" t="str">
        <f>AN50</f>
        <v>%</v>
      </c>
      <c r="S42" s="74"/>
      <c r="T42" s="74"/>
      <c r="U42" s="9"/>
      <c r="AC42" s="37"/>
      <c r="AE42" s="224"/>
      <c r="AF42" s="45"/>
      <c r="AG42" s="45"/>
      <c r="AH42" s="229">
        <f>gmprop(AH36,AN36,AJ37,AN37,AP33,AP34,AP35,AP36,AP37,AP38,AP39,AP40,AP41,AP42,AR33,AR34,AR35,AR36,AR37,AR38,AR39,AR40,AR41,AR42,AQ32,-2)</f>
        <v>1.2888682765913848</v>
      </c>
      <c r="AI42" s="229"/>
      <c r="AJ42" s="230"/>
      <c r="AK42" s="232">
        <f>gmprop(AK36,AN36,AM38,AN37,AP33,AP34,AP35,AP36,AP37,AP38,AP39,AP40,AP41,AP42,AS33,AS34,AS35,AS36,AS37,AS38,AS39,AS40,AS41,AS42,AQ32,-2)</f>
        <v>1.2888682765913848</v>
      </c>
      <c r="AL42" s="229"/>
      <c r="AM42" s="229"/>
      <c r="AN42" s="9" t="s">
        <v>124</v>
      </c>
      <c r="AO42" s="9"/>
      <c r="AP42" s="47">
        <f>IF(AP32&lt;&gt;"Yes","***",IF(AW51&lt;&gt;"Yes",AU42,""))</f>
      </c>
      <c r="AQ42" s="82">
        <f>IF(AP32&lt;&gt;"Yes","***",IF(AW51&lt;&gt;"Yes",IF(AQ32=AY32,AY42,AZ42),0))</f>
        <v>0</v>
      </c>
      <c r="AR42" s="83">
        <f>IF(AP32&lt;&gt;"Yes","***",gmconv(AP33,AP34,AP35,AP36,AP37,AP38,AP39,AP40,AP41,AP42,AQ33,AQ34,AQ35,AQ36,AQ37,AQ38,AQ39,AQ40,AQ41,AQ42,AQ32,IF(AQ32="volume%",104,105)))</f>
        <v>0</v>
      </c>
      <c r="AS42" s="76">
        <f>IF(AP32&lt;&gt;"Yes","***",gmconv(AP33,AP34,AP35,AP36,AP37,AP38,AP39,AP40,AP41,AP42,AQ33,AQ34,AQ35,AQ36,AQ37,AQ38,AQ39,AQ40,AQ41,AQ42,AQ32,IF(AQ32="volume%",104,105)))</f>
        <v>0</v>
      </c>
      <c r="AT42" s="9"/>
      <c r="AU42" s="61" t="s">
        <v>81</v>
      </c>
      <c r="AV42" s="61"/>
      <c r="AW42" s="231"/>
      <c r="AX42" s="231"/>
      <c r="AY42" s="84" t="str">
        <f>IF(AU32&lt;&gt;"Yes","***",IF(OR(AU42="",AW42="",AW42&lt;=0),0,gmconv(AU33,AU34,AU35,AU36,AU37,AU38,AU39,AU40,AU41,AU42,AW33,AW34,AW35,AW36,AW37,AW38,AW39,AW40,AW41,AW42,AW32,104)))</f>
        <v>***</v>
      </c>
      <c r="AZ42" s="82" t="str">
        <f>IF(AU32&lt;&gt;"Yes","***",IF(OR(AU42="",AW42="",AW42&lt;=0),0,gmconv(AU33,AU34,AU35,AU36,AU37,AU38,AU39,AU40,AU41,AU42,AW33,AW34,AW35,AW36,AW37,AW38,AW39,AW40,AW41,AW42,AW32,105)))</f>
        <v>***</v>
      </c>
    </row>
    <row r="43" spans="1:52" ht="11.25" customHeight="1">
      <c r="A43" s="9"/>
      <c r="B43" s="9"/>
      <c r="C43" s="9"/>
      <c r="D43" s="36" t="s">
        <v>201</v>
      </c>
      <c r="E43" s="36"/>
      <c r="F43" s="36"/>
      <c r="G43" s="36"/>
      <c r="H43" s="36"/>
      <c r="I43" s="36"/>
      <c r="J43" s="41" t="str">
        <f>D15</f>
        <v>W1</v>
      </c>
      <c r="K43" s="223">
        <f>AH52</f>
        <v>0.0043640173069368305</v>
      </c>
      <c r="L43" s="223"/>
      <c r="M43" s="223"/>
      <c r="N43" s="41" t="str">
        <f>K15</f>
        <v>W2</v>
      </c>
      <c r="O43" s="223">
        <f>K43</f>
        <v>0.0043640173069368305</v>
      </c>
      <c r="P43" s="223"/>
      <c r="Q43" s="223"/>
      <c r="R43" s="36" t="str">
        <f>AN52</f>
        <v>kg/kg.dry gas</v>
      </c>
      <c r="S43" s="36"/>
      <c r="T43" s="36"/>
      <c r="U43" s="9"/>
      <c r="W43" s="37"/>
      <c r="AC43" s="37"/>
      <c r="AE43" s="221" t="s">
        <v>132</v>
      </c>
      <c r="AF43" s="221"/>
      <c r="AG43" s="221"/>
      <c r="AH43" s="235">
        <f>AH32*IF(AK32="kg/h",1,IF(AK32="m3/h",1*AH41,IF(AK32="Nm3/h",1*AH42)))-AH35</f>
        <v>3838.4993976115225</v>
      </c>
      <c r="AI43" s="235"/>
      <c r="AJ43" s="236"/>
      <c r="AK43" s="243">
        <f>AH32*IF(AK32="kg/h",1,IF(AK32="m3/h",1*AH41,IF(AK32="Nm3/h",1*AH42)))-AK35</f>
        <v>3838.4993976115225</v>
      </c>
      <c r="AL43" s="237"/>
      <c r="AM43" s="237"/>
      <c r="AN43" s="9" t="s">
        <v>85</v>
      </c>
      <c r="AO43" s="9"/>
      <c r="AP43" s="85" t="s">
        <v>89</v>
      </c>
      <c r="AQ43" s="86">
        <f>IF(AP32&lt;&gt;"Yes","***",SUM(AQ33:AQ42))</f>
        <v>100</v>
      </c>
      <c r="AR43" s="86">
        <f>IF(AP32&lt;&gt;"Yes","***",SUM(AR33:AR42))</f>
        <v>100</v>
      </c>
      <c r="AS43" s="86">
        <f>IF(AP32&lt;&gt;"Yes","***",SUM(AS33:AS42))</f>
        <v>100</v>
      </c>
      <c r="AT43" s="9"/>
      <c r="AU43" s="65" t="s">
        <v>90</v>
      </c>
      <c r="AV43" s="65"/>
      <c r="AW43" s="228">
        <f>SUM(AW33:AX42)</f>
        <v>100</v>
      </c>
      <c r="AX43" s="228"/>
      <c r="AY43" s="87" t="str">
        <f>IF(AU32&lt;&gt;"Yes","***",SUM(AY33:AY42))</f>
        <v>***</v>
      </c>
      <c r="AZ43" s="86" t="str">
        <f>IF(AU32&lt;&gt;"Yes","***",SUM(AZ33:AZ42))</f>
        <v>***</v>
      </c>
    </row>
    <row r="44" spans="1:52" ht="11.25" customHeight="1">
      <c r="A44" s="9"/>
      <c r="B44" s="9"/>
      <c r="C44" s="9"/>
      <c r="D44" s="15" t="str">
        <f>D39</f>
        <v>Flowrate</v>
      </c>
      <c r="E44" s="15"/>
      <c r="F44" s="15"/>
      <c r="G44" s="15" t="s">
        <v>193</v>
      </c>
      <c r="H44" s="15"/>
      <c r="I44" s="15"/>
      <c r="J44" s="91"/>
      <c r="K44" s="246">
        <f>AH44</f>
        <v>3000</v>
      </c>
      <c r="L44" s="246"/>
      <c r="M44" s="246"/>
      <c r="N44" s="91"/>
      <c r="O44" s="246">
        <f>AK44</f>
        <v>3414.319462111576</v>
      </c>
      <c r="P44" s="246"/>
      <c r="Q44" s="246"/>
      <c r="R44" s="15" t="str">
        <f>AN44</f>
        <v>m3/h</v>
      </c>
      <c r="S44" s="15"/>
      <c r="T44" s="15"/>
      <c r="U44" s="9"/>
      <c r="W44" s="37"/>
      <c r="AC44" s="37"/>
      <c r="AE44" s="221"/>
      <c r="AF44" s="221"/>
      <c r="AG44" s="221"/>
      <c r="AH44" s="237">
        <f>AH43/AH41</f>
        <v>3000</v>
      </c>
      <c r="AI44" s="237"/>
      <c r="AJ44" s="238"/>
      <c r="AK44" s="243">
        <f>AK43/AL41</f>
        <v>3414.319462111576</v>
      </c>
      <c r="AL44" s="237"/>
      <c r="AM44" s="237"/>
      <c r="AN44" s="39" t="s">
        <v>125</v>
      </c>
      <c r="AO44" s="9"/>
      <c r="AP44" s="13" t="str">
        <f>AU44</f>
        <v>M. Weight</v>
      </c>
      <c r="AQ44" s="88">
        <f>IF(AP32&lt;&gt;"Yes","***",gmconv(AP33,AP34,AP35,AP36,AP37,AP38,AP39,AP40,AP41,AP42,AQ33,AQ34,AQ35,AQ36,AQ37,AQ38,AQ39,AQ40,AQ41,AQ42,AQ32,-1))</f>
        <v>28.88847444391228</v>
      </c>
      <c r="AR44" s="89">
        <f>IF(AP32&lt;&gt;"Yes","***",gmconv(AP33,AP34,AP35,AP36,AP37,AP38,AP39,AP40,AP41,AP42,AR33,AR34,AR35,AR36,AR37,AR38,AR39,AR40,AR41,AR42,AQ32,-1))</f>
        <v>28.88847444391228</v>
      </c>
      <c r="AS44" s="89">
        <f>IF(AP32&lt;&gt;"Yes","***",gmconv(AP33,AP34,AP35,AP36,AP37,AP38,AP39,AP40,AP41,AP42,AS33,AS34,AS35,AS36,AS37,AS38,AS39,AS40,AS41,AS42,AQ32,-1))</f>
        <v>28.88847444391228</v>
      </c>
      <c r="AT44" s="9"/>
      <c r="AU44" s="13" t="s">
        <v>91</v>
      </c>
      <c r="AV44" s="13"/>
      <c r="AW44" s="240" t="str">
        <f>IF(AU32&lt;&gt;"Yes","***",gmconv(AU33,AU34,AU35,AU36,AU37,AU38,AU39,AU40,AU41,AU42,AW33,AW34,AW35,AW36,AW37,AW38,AW39,AW40,AW41,AW42,AW32,-1))</f>
        <v>***</v>
      </c>
      <c r="AX44" s="240"/>
      <c r="AY44" s="13"/>
      <c r="AZ44" s="90"/>
    </row>
    <row r="45" spans="1:52" ht="11.25" customHeight="1">
      <c r="A45" s="36"/>
      <c r="B45" s="36"/>
      <c r="C45" s="36"/>
      <c r="D45" s="15" t="str">
        <f>AE54</f>
        <v>Specific Volume</v>
      </c>
      <c r="E45" s="15"/>
      <c r="F45" s="15"/>
      <c r="G45" s="15"/>
      <c r="H45" s="15"/>
      <c r="I45" s="15"/>
      <c r="J45" s="91"/>
      <c r="K45" s="229">
        <f>AH54</f>
        <v>0.7849661390583218</v>
      </c>
      <c r="L45" s="229"/>
      <c r="M45" s="229"/>
      <c r="N45" s="91"/>
      <c r="O45" s="229">
        <f>AK54</f>
        <v>0.8933750552284698</v>
      </c>
      <c r="P45" s="229"/>
      <c r="Q45" s="229"/>
      <c r="R45" s="15" t="str">
        <f>AN54</f>
        <v>m3/kg.dry gas</v>
      </c>
      <c r="S45" s="15"/>
      <c r="T45" s="15"/>
      <c r="U45" s="36"/>
      <c r="V45" s="37"/>
      <c r="W45" s="37"/>
      <c r="X45" s="37"/>
      <c r="Y45" s="37"/>
      <c r="Z45" s="37"/>
      <c r="AA45" s="37"/>
      <c r="AB45" s="37"/>
      <c r="AE45" s="45" t="s">
        <v>136</v>
      </c>
      <c r="AF45" s="45"/>
      <c r="AG45" s="45"/>
      <c r="AH45" s="229">
        <f>gmprop(AH36,AN36,AJ37,AN37,AP33,AP34,AP35,AP36,AP37,AP38,AP39,AP40,AP41,AP42,AR33,AR34,AR35,AR36,AR37,AR38,AR39,AR40,AR41,AR42,AQ32,3)</f>
        <v>0.48210637875382845</v>
      </c>
      <c r="AI45" s="229"/>
      <c r="AJ45" s="230"/>
      <c r="AK45" s="232">
        <f>gmprop(AK36,AN36,AM38,AN37,AP33,AP34,AP35,AP36,AP37,AP38,AP39,AP40,AP41,AP42,AS33,AS34,AS35,AS36,AS37,AS38,AS39,AS40,AS41,AS42,AQ32,3)</f>
        <v>9.64681449855923</v>
      </c>
      <c r="AL45" s="229"/>
      <c r="AM45" s="229"/>
      <c r="AN45" s="9" t="s">
        <v>126</v>
      </c>
      <c r="AO45" s="9"/>
      <c r="AP45" s="15" t="str">
        <f>AU45</f>
        <v>Density</v>
      </c>
      <c r="AQ45" s="91">
        <f>IF(AP32&lt;&gt;"Yes","***",gmconv(AP33,AP34,AP35,AP36,AP37,AP38,AP39,AP40,AP41,AP42,AQ33,AQ34,AQ35,AQ36,AQ37,AQ38,AQ39,AQ40,AQ41,AQ42,AQ32,-2))</f>
        <v>1.2888682765913848</v>
      </c>
      <c r="AR45" s="92">
        <f>IF(AP32&lt;&gt;"Yes","***",gmconv(AP33,AP34,AP35,AP36,AP37,AP38,AP39,AP40,AP41,AP42,AR33,AR34,AR35,AR36,AR37,AR38,AR39,AR40,AR41,AR42,AQ32,-2))</f>
        <v>1.2888682765913848</v>
      </c>
      <c r="AS45" s="92">
        <f>IF(AP32&lt;&gt;"Yes","***",gmconv(AP33,AP34,AP35,AP36,AP37,AP38,AP39,AP40,AP41,AP42,AS33,AS34,AS35,AS36,AS37,AS38,AS39,AS40,AS41,AS42,AQ32,-2))</f>
        <v>1.2888682765913848</v>
      </c>
      <c r="AT45" s="9" t="str">
        <f>AY45</f>
        <v>kg/Nm3</v>
      </c>
      <c r="AU45" s="15" t="s">
        <v>92</v>
      </c>
      <c r="AV45" s="15"/>
      <c r="AW45" s="229" t="str">
        <f>IF(AU32&lt;&gt;"Yes","***",gmconv(AU33,AU34,AU35,AU36,AU37,AU38,AU39,AU40,AU41,AU42,AW33,AW34,AW35,AW36,AW37,AW38,AW39,AW40,AW41,AW42,AW32,-2))</f>
        <v>***</v>
      </c>
      <c r="AX45" s="229"/>
      <c r="AY45" s="15" t="s">
        <v>93</v>
      </c>
      <c r="AZ45" s="79"/>
    </row>
    <row r="46" spans="1:52" ht="11.25" customHeight="1">
      <c r="A46" s="36"/>
      <c r="B46" s="36"/>
      <c r="C46" s="36"/>
      <c r="D46" s="15" t="s">
        <v>163</v>
      </c>
      <c r="E46" s="15"/>
      <c r="F46" s="15"/>
      <c r="G46" s="15"/>
      <c r="H46" s="15"/>
      <c r="I46" s="15"/>
      <c r="J46" s="91" t="str">
        <f>D13</f>
        <v>ma</v>
      </c>
      <c r="K46" s="237">
        <f>K44/K45</f>
        <v>3821.8209050379237</v>
      </c>
      <c r="L46" s="237"/>
      <c r="M46" s="237"/>
      <c r="N46" s="91" t="str">
        <f>K13</f>
        <v>ma</v>
      </c>
      <c r="O46" s="237">
        <f>O44/O45</f>
        <v>3821.820905037924</v>
      </c>
      <c r="P46" s="196"/>
      <c r="Q46" s="196"/>
      <c r="R46" s="15" t="str">
        <f>AN55</f>
        <v>kg.dry gas/h</v>
      </c>
      <c r="S46" s="74"/>
      <c r="T46" s="74"/>
      <c r="U46" s="36"/>
      <c r="V46" s="37"/>
      <c r="X46" s="37"/>
      <c r="Y46" s="37"/>
      <c r="Z46" s="37"/>
      <c r="AA46" s="37"/>
      <c r="AB46" s="37"/>
      <c r="AC46" s="37"/>
      <c r="AE46" s="224" t="s">
        <v>137</v>
      </c>
      <c r="AF46" s="224"/>
      <c r="AG46" s="45" t="s">
        <v>122</v>
      </c>
      <c r="AH46" s="229">
        <f>gmprop(AH36,AN36,AJ37,AN37,AP33,AP34,AP35,AP36,AP37,AP38,AP39,AP40,AP41,AP42,AR33,AR34,AR35,AR36,AR37,AR38,AR39,AR40,AR41,AR42,AQ32,5)</f>
        <v>0.2410595647004205</v>
      </c>
      <c r="AI46" s="230"/>
      <c r="AJ46" s="232">
        <f>gmprop((AH36+AK36)/2,AN36,(AJ37+AM38)/2,AN37,AP33,AP34,AP35,AP36,AP37,AP38,AP39,AP40,AP41,AP42,AR33,AR34,AR35,AR36,AR37,AR38,AR39,AR40,AR41,AR42,AQ32,5)</f>
        <v>0.24115834486303428</v>
      </c>
      <c r="AK46" s="230"/>
      <c r="AL46" s="232">
        <f>gmprop(AK36,AN36,AM38,AN37,AP33,AP34,AP35,AP36,AP37,AP38,AP39,AP40,AP41,AP42,AS33,AS34,AS35,AS36,AS37,AS38,AS39,AS40,AS41,AS42,AQ32,5)</f>
        <v>0.24131251268463508</v>
      </c>
      <c r="AM46" s="229"/>
      <c r="AN46" s="123" t="s">
        <v>127</v>
      </c>
      <c r="AO46" s="9"/>
      <c r="AP46" s="7" t="str">
        <f>AU46</f>
        <v>Dew Point</v>
      </c>
      <c r="AQ46" s="15"/>
      <c r="AR46" s="93" t="s">
        <v>94</v>
      </c>
      <c r="AS46" s="80">
        <f>AY46</f>
        <v>3</v>
      </c>
      <c r="AT46" s="9"/>
      <c r="AU46" s="7" t="s">
        <v>95</v>
      </c>
      <c r="AV46" s="15"/>
      <c r="AW46" s="15" t="s">
        <v>94</v>
      </c>
      <c r="AX46" s="15"/>
      <c r="AY46" s="80">
        <v>3</v>
      </c>
      <c r="AZ46" s="79"/>
    </row>
    <row r="47" spans="1:52" ht="11.25" customHeight="1">
      <c r="A47" s="36"/>
      <c r="B47" s="36"/>
      <c r="C47" s="36"/>
      <c r="D47" s="213" t="s">
        <v>162</v>
      </c>
      <c r="E47" s="213"/>
      <c r="F47" s="74"/>
      <c r="G47" s="74"/>
      <c r="H47" s="74"/>
      <c r="I47" s="74"/>
      <c r="J47" s="91" t="str">
        <f>D14</f>
        <v>h1</v>
      </c>
      <c r="K47" s="215">
        <f>AH56</f>
        <v>0.48421029933449483</v>
      </c>
      <c r="L47" s="215"/>
      <c r="M47" s="215"/>
      <c r="N47" s="91" t="str">
        <f>K14</f>
        <v>h2</v>
      </c>
      <c r="O47" s="215">
        <f>AK56</f>
        <v>9.688913363987753</v>
      </c>
      <c r="P47" s="215"/>
      <c r="Q47" s="215"/>
      <c r="R47" s="74" t="str">
        <f>AN56</f>
        <v>kcal/kg.dry gas</v>
      </c>
      <c r="S47" s="74"/>
      <c r="T47" s="74"/>
      <c r="U47" s="36"/>
      <c r="V47" s="37"/>
      <c r="W47" s="37"/>
      <c r="X47" s="37"/>
      <c r="Y47" s="37"/>
      <c r="Z47" s="37"/>
      <c r="AA47" s="37"/>
      <c r="AB47" s="37"/>
      <c r="AC47" s="37"/>
      <c r="AE47" s="224"/>
      <c r="AF47" s="224"/>
      <c r="AG47" s="45" t="s">
        <v>144</v>
      </c>
      <c r="AH47" s="229">
        <f>gmprop(AH36,AN36,AJ37,AN37,AP33,AP34,AP35,AP36,AP37,AP38,AP39,AP40,AP41,AP42,AR33,AR34,AR35,AR36,AR37,AR38,AR39,AR40,AR41,AR42,AQ32,4)</f>
        <v>0.24105318937691422</v>
      </c>
      <c r="AI47" s="229"/>
      <c r="AJ47" s="230"/>
      <c r="AK47" s="232">
        <f>gmprop(AK36,AN36,AM38,AN37,AP33,AP34,AP35,AP36,AP37,AP38,AP39,AP40,AP41,AP42,AS33,AS34,AS35,AS36,AS37,AS38,AS39,AS40,AS41,AS42,AQ32,4)</f>
        <v>0.24117036246398074</v>
      </c>
      <c r="AL47" s="229"/>
      <c r="AM47" s="229"/>
      <c r="AN47" s="123" t="str">
        <f>AN46</f>
        <v>kcal/kg.℃</v>
      </c>
      <c r="AO47" s="9"/>
      <c r="AP47" s="9"/>
      <c r="AQ47" s="15" t="str">
        <f>AV47</f>
        <v>Water</v>
      </c>
      <c r="AR47" s="92">
        <f>IF(AP32&lt;&gt;"Yes","***",tempconv(dewpoint(AH36,AN36,AJ37,AN37,AS46,AP33,AP34,AP35,AP36,AP37,AP38,AP39,AP40,AP41,AP42,AR33,AR34,AR35,AR36,AR37,AR38,AR39,AR40,AR41,AR42,AW32,1),"℃",AT47))</f>
        <v>2.0000000000001705</v>
      </c>
      <c r="AS47" s="92">
        <f>IF(AP32&lt;&gt;"Yes","***",tempconv(dewpoint(AK36,AN36,AM38,AN37,AS46,AP33,AP34,AP35,AP36,AP37,AP38,AP39,AP40,AP41,AP42,AS33,AS34,AS35,AS36,AS37,AS38,AS39,AS40,AS41,AS42,AW32,1),"℃",AT47))</f>
        <v>2.0000000000001705</v>
      </c>
      <c r="AT47" s="9" t="str">
        <f>AY47</f>
        <v>℃</v>
      </c>
      <c r="AU47" s="9"/>
      <c r="AV47" s="15" t="s">
        <v>96</v>
      </c>
      <c r="AW47" s="239" t="str">
        <f>IF(AU32&lt;&gt;"Yes","***",tempconv(dewpoint(AH36,AN36,AJ37,AN37,AY46,AU33,AU34,AU35,AU36,AU37,AU38,AU39,AU40,AU41,AU42,AW33,AW34,AW35,AW36,AW37,AW38,AW39,AW40,AW41,AW42,AW32,1),"℃",AY47))</f>
        <v>***</v>
      </c>
      <c r="AX47" s="239"/>
      <c r="AY47" s="94" t="s">
        <v>97</v>
      </c>
      <c r="AZ47" s="79"/>
    </row>
    <row r="48" spans="1:52" ht="11.25" customHeight="1">
      <c r="A48" s="9"/>
      <c r="B48" s="9"/>
      <c r="C48" s="36"/>
      <c r="D48" s="214"/>
      <c r="E48" s="214"/>
      <c r="F48" s="74"/>
      <c r="G48" s="74"/>
      <c r="H48" s="74"/>
      <c r="I48" s="74"/>
      <c r="J48" s="74"/>
      <c r="K48" s="215">
        <f>K47*4.1868</f>
        <v>2.0272916812536628</v>
      </c>
      <c r="L48" s="215"/>
      <c r="M48" s="215"/>
      <c r="N48" s="74"/>
      <c r="O48" s="215">
        <f>O47*4.1868</f>
        <v>40.56554247234392</v>
      </c>
      <c r="P48" s="215"/>
      <c r="Q48" s="215"/>
      <c r="R48" s="74" t="s">
        <v>227</v>
      </c>
      <c r="S48" s="74"/>
      <c r="T48" s="74"/>
      <c r="U48" s="36"/>
      <c r="V48" s="36"/>
      <c r="W48" s="36"/>
      <c r="AC48" s="37"/>
      <c r="AE48" s="61" t="s">
        <v>138</v>
      </c>
      <c r="AF48" s="61"/>
      <c r="AG48" s="61"/>
      <c r="AH48" s="257">
        <f>AH43*(AK45-AH45)</f>
        <v>35178.726597158464</v>
      </c>
      <c r="AI48" s="257"/>
      <c r="AJ48" s="257"/>
      <c r="AK48" s="257"/>
      <c r="AL48" s="257"/>
      <c r="AM48" s="257"/>
      <c r="AN48" s="9" t="s">
        <v>128</v>
      </c>
      <c r="AO48" s="9"/>
      <c r="AP48" s="18"/>
      <c r="AQ48" s="61" t="str">
        <f>AV48</f>
        <v>Sulfuric</v>
      </c>
      <c r="AR48" s="95">
        <f>IF(AP32&lt;&gt;"Yes","***",tempconv(dewpoint(AH36,AN36,AJ37,AN37,AS46,AP33,AP34,AP35,AP36,AP37,AP38,AP39,AP40,AP41,AP42,AR33,AR34,AR35,AR36,AR37,AR38,AR39,AR40,AR41,AR42,AW32,2),"℃",AT48))</f>
        <v>0</v>
      </c>
      <c r="AS48" s="95">
        <f>IF(AP32&lt;&gt;"Yes","***",tempconv(dewpoint(AK36,AN36,AM38,AN37,AS46,AP33,AP34,AP35,AP36,AP37,AP38,AP39,AP40,AP41,AP42,AS33,AS34,AS35,AS36,AS37,AS38,AS39,AS40,AS41,AS42,AW32,2),"℃",AT48))</f>
        <v>0</v>
      </c>
      <c r="AT48" s="9" t="str">
        <f>AT47</f>
        <v>℃</v>
      </c>
      <c r="AU48" s="18"/>
      <c r="AV48" s="61" t="s">
        <v>98</v>
      </c>
      <c r="AW48" s="216" t="str">
        <f>IF(AU32&lt;&gt;"Yes","***",tempconv(dewpoint(AH36,AN36,AJ37,AN37,AY46,AU33,AU34,AU35,AU36,AU37,AU38,AU39,AU40,AU41,AU42,AW33,AW34,AW35,AW36,AW37,AW38,AW39,AW40,AW41,AW42,AW32,2),"℃",AY48))</f>
        <v>***</v>
      </c>
      <c r="AX48" s="216"/>
      <c r="AY48" s="61" t="str">
        <f>AY47</f>
        <v>℃</v>
      </c>
      <c r="AZ48" s="96"/>
    </row>
    <row r="49" spans="1:42" ht="11.25" customHeight="1">
      <c r="A49" s="36"/>
      <c r="B49" s="36"/>
      <c r="C49" s="9"/>
      <c r="D49" s="47" t="str">
        <f>AE57</f>
        <v>Heat Load</v>
      </c>
      <c r="E49" s="47"/>
      <c r="F49" s="47"/>
      <c r="G49" s="47"/>
      <c r="H49" s="47"/>
      <c r="I49" s="47"/>
      <c r="J49" s="35" t="str">
        <f>D33</f>
        <v>Q</v>
      </c>
      <c r="K49" s="269">
        <f>K46*(O47-K47)</f>
        <v>35178.72659715847</v>
      </c>
      <c r="L49" s="269"/>
      <c r="M49" s="269"/>
      <c r="N49" s="34" t="s">
        <v>167</v>
      </c>
      <c r="O49" s="270">
        <f>K49/860</f>
        <v>40.90549604320753</v>
      </c>
      <c r="P49" s="270"/>
      <c r="Q49" s="270"/>
      <c r="R49" s="47" t="str">
        <f>AN57&amp;" / kW"</f>
        <v>kcal/h / kW</v>
      </c>
      <c r="S49" s="47"/>
      <c r="T49" s="47"/>
      <c r="U49" s="9"/>
      <c r="W49" s="36"/>
      <c r="X49" s="37"/>
      <c r="Y49" s="37"/>
      <c r="Z49" s="37"/>
      <c r="AA49" s="37"/>
      <c r="AB49" s="37"/>
      <c r="AC49" s="37"/>
      <c r="AE49" s="244" t="s">
        <v>154</v>
      </c>
      <c r="AF49" s="244"/>
      <c r="AG49" s="244"/>
      <c r="AH49" s="244"/>
      <c r="AI49" s="244"/>
      <c r="AJ49" s="244"/>
      <c r="AK49" s="244"/>
      <c r="AL49" s="244"/>
      <c r="AM49" s="244"/>
      <c r="AN49" s="9"/>
      <c r="AO49" s="9"/>
      <c r="AP49" s="128" t="s">
        <v>118</v>
      </c>
    </row>
    <row r="50" spans="1:52" ht="11.25" customHeight="1">
      <c r="A50" s="36"/>
      <c r="B50" s="36"/>
      <c r="C50" s="36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36"/>
      <c r="V50" s="37"/>
      <c r="W50" s="37"/>
      <c r="X50" s="37"/>
      <c r="Y50" s="37"/>
      <c r="Z50" s="37"/>
      <c r="AA50" s="37"/>
      <c r="AB50" s="37"/>
      <c r="AC50" s="37"/>
      <c r="AE50" s="104" t="s">
        <v>223</v>
      </c>
      <c r="AF50" s="13"/>
      <c r="AG50" s="13"/>
      <c r="AH50" s="233">
        <f>gmprop(AH36,AN36,AJ37,AN37,AP33,AP34,AP35,AP36,AP37,AP38,AP39,AP40,AP41,AP42,AR33,AR34,AR35,AR36,AR37,AR38,AR39,AR40,AR41,AR42,AQ32,-3)</f>
        <v>100</v>
      </c>
      <c r="AI50" s="233"/>
      <c r="AJ50" s="233"/>
      <c r="AK50" s="234">
        <f>gmprop(AK36,AN36,AM38,AN37,AP33,AP34,AP35,AP36,AP37,AP38,AP39,AP40,AP41,AP42,AS33,AS34,AS35,AS36,AS37,AS38,AS39,AS40,AS41,AS42,AQ32,-3)</f>
        <v>9.560496154027975</v>
      </c>
      <c r="AL50" s="233"/>
      <c r="AM50" s="233"/>
      <c r="AN50" s="9" t="s">
        <v>225</v>
      </c>
      <c r="AP50" s="13" t="s">
        <v>202</v>
      </c>
      <c r="AQ50" s="13"/>
      <c r="AR50" s="185">
        <f>IF(AP32&lt;&gt;"Yes","***",gmcond(AH36,AN36,AJ37,AN37,AP33,AP34,AP35,AP36,AP37,AP38,AP39,AP40,AP41,AP42,AQ33,AQ34,AQ35,AQ36,AQ37,AQ38,AQ39,AQ40,AQ41,AQ42,AQ32,-113))</f>
        <v>0</v>
      </c>
      <c r="AS50" s="186">
        <f>IF(AP32&lt;&gt;"Yes","***",gmcond(AK36,AN36,AM38,AN37,AP33,AP34,AP35,AP36,AP37,AP38,AP39,AP40,AP41,AP42,AQ33,AQ34,AQ35,AQ36,AQ37,AQ38,AQ39,AQ40,AQ41,AQ42,AQ32,-113))</f>
        <v>0</v>
      </c>
      <c r="AT50" s="9"/>
      <c r="AU50" s="9"/>
      <c r="AV50" s="9"/>
      <c r="AW50" s="220" t="s">
        <v>102</v>
      </c>
      <c r="AX50" s="220"/>
      <c r="AY50" s="9"/>
      <c r="AZ50" s="9"/>
    </row>
    <row r="51" spans="1:52" ht="11.25" customHeight="1">
      <c r="A51" s="36"/>
      <c r="B51" s="36"/>
      <c r="C51" s="36"/>
      <c r="D51" s="36" t="str">
        <f>"* Latent heat is not included in "&amp;D47&amp;" "&amp;J47&amp;" and "&amp;N47&amp;"."</f>
        <v>* Latent heat is not included in Enthalpy h1 and h2.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7"/>
      <c r="X51" s="37"/>
      <c r="Y51" s="37"/>
      <c r="Z51" s="37"/>
      <c r="AA51" s="37"/>
      <c r="AB51" s="37"/>
      <c r="AC51" s="37"/>
      <c r="AE51" s="163" t="s">
        <v>155</v>
      </c>
      <c r="AF51" s="71"/>
      <c r="AG51" s="71"/>
      <c r="AH51" s="263">
        <f>gmprop(AH36,AN36,AJ37,AN37,AP33,AP34,AP35,AP36,AP37,AP38,AP39,AP40,AP41,AP42,AR33,AR34,AR35,AR36,AR37,AR38,AR39,AR40,AR41,AR42,AQ32,99)</f>
        <v>0.0043450554099283036</v>
      </c>
      <c r="AI51" s="263"/>
      <c r="AJ51" s="264"/>
      <c r="AK51" s="265">
        <f>gmprop(AK36,AN36,AM38,AN37,AP33,AP34,AP35,AP36,AP37,AP38,AP39,AP40,AP41,AP42,AS33,AS34,AS35,AS36,AS37,AS38,AS39,AS40,AS41,AS42,AQ32,99)</f>
        <v>0.0043450554099283036</v>
      </c>
      <c r="AL51" s="263"/>
      <c r="AM51" s="263"/>
      <c r="AN51" s="128" t="s">
        <v>158</v>
      </c>
      <c r="AP51" s="61" t="s">
        <v>99</v>
      </c>
      <c r="AQ51" s="61"/>
      <c r="AR51" s="98">
        <f>IF(AP32&lt;&gt;"Yes","***",AR50*AH32*IF(AK32="kg/h",1,IF(AK32="m3/h",1*AH41,IF(AK32="Nm3/h",1*AH42))))</f>
        <v>0</v>
      </c>
      <c r="AS51" s="98">
        <f>IF(AP32&lt;&gt;"Yes","***",AS50*AH32*IF(AK32="kg/h",1,IF(AK32="m3/h",1*AH41,IF(AK32="Nm3/h",1*AH42))))</f>
        <v>0</v>
      </c>
      <c r="AT51" s="1" t="s">
        <v>100</v>
      </c>
      <c r="AU51" s="115" t="s">
        <v>101</v>
      </c>
      <c r="AV51" s="99"/>
      <c r="AW51" s="217" t="s">
        <v>86</v>
      </c>
      <c r="AX51" s="217"/>
      <c r="AY51" s="18"/>
      <c r="AZ51" s="18"/>
    </row>
    <row r="52" spans="1:52" ht="11.2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7"/>
      <c r="W52" s="37"/>
      <c r="X52" s="37"/>
      <c r="Y52" s="37"/>
      <c r="Z52" s="37"/>
      <c r="AA52" s="37"/>
      <c r="AB52" s="37"/>
      <c r="AC52" s="37"/>
      <c r="AE52" s="81" t="s">
        <v>156</v>
      </c>
      <c r="AF52" s="15"/>
      <c r="AG52" s="15"/>
      <c r="AH52" s="266">
        <f>gmprop(AH36,AN36,AJ37,AN37,AP33,AP34,AP35,AP36,AP37,AP38,AP39,AP40,AP41,AP42,AR33,AR34,AR35,AR36,AR37,AR38,AR39,AR40,AR41,AR42,AQ32,100)</f>
        <v>0.0043640173069368305</v>
      </c>
      <c r="AI52" s="266"/>
      <c r="AJ52" s="267"/>
      <c r="AK52" s="268">
        <f>gmprop(AK36,AN36,AM38,AN37,AP33,AP34,AP35,AP36,AP37,AP38,AP39,AP40,AP41,AP42,AS33,AS34,AS35,AS36,AS37,AS38,AS39,AS40,AS41,AS42,AQ32,100)</f>
        <v>0.0043640173069368305</v>
      </c>
      <c r="AL52" s="266"/>
      <c r="AM52" s="266"/>
      <c r="AN52" s="128" t="s">
        <v>159</v>
      </c>
      <c r="AS52" s="9"/>
      <c r="AU52" s="13" t="s">
        <v>103</v>
      </c>
      <c r="AV52" s="13"/>
      <c r="AW52" s="218">
        <v>2</v>
      </c>
      <c r="AX52" s="218"/>
      <c r="AY52" s="13" t="s">
        <v>82</v>
      </c>
      <c r="AZ52" s="13"/>
    </row>
    <row r="53" spans="1:52" ht="11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X53" s="36"/>
      <c r="Y53" s="36"/>
      <c r="Z53" s="36"/>
      <c r="AA53" s="36"/>
      <c r="AB53" s="36"/>
      <c r="AC53" s="37"/>
      <c r="AE53" s="81" t="s">
        <v>189</v>
      </c>
      <c r="AF53" s="15"/>
      <c r="AG53" s="15"/>
      <c r="AH53" s="229">
        <f>gmprop(AH36,AN36,AJ37,AN37,AP33,AP34,AP35,AP36,AP37,AP38,AP39,AP40,AP41,AP42,AR33,AR34,AR35,AR36,AR37,AR38,AR39,AR40,AR41,AR42,AQ32,102)</f>
        <v>1.2739403016793078</v>
      </c>
      <c r="AI53" s="229"/>
      <c r="AJ53" s="230"/>
      <c r="AK53" s="232">
        <f>gmprop(AK36,AN36,AM38,AN37,AP33,AP34,AP35,AP36,AP37,AP38,AP39,AP40,AP41,AP42,AS33,AS34,AS35,AS36,AS37,AS38,AS39,AS40,AS41,AS42,AQ32,102)</f>
        <v>1.1193507073513063</v>
      </c>
      <c r="AL53" s="229"/>
      <c r="AM53" s="229"/>
      <c r="AN53" s="128" t="s">
        <v>191</v>
      </c>
      <c r="AS53" s="9"/>
      <c r="AU53" s="15" t="s">
        <v>104</v>
      </c>
      <c r="AV53" s="15"/>
      <c r="AW53" s="219">
        <v>0</v>
      </c>
      <c r="AX53" s="219"/>
      <c r="AY53" s="15" t="s">
        <v>83</v>
      </c>
      <c r="AZ53" s="15"/>
    </row>
    <row r="54" spans="1:52" ht="11.2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7"/>
      <c r="W54" s="37"/>
      <c r="X54" s="37"/>
      <c r="Y54" s="37"/>
      <c r="Z54" s="37"/>
      <c r="AA54" s="37"/>
      <c r="AB54" s="37"/>
      <c r="AC54" s="37"/>
      <c r="AE54" s="81" t="s">
        <v>190</v>
      </c>
      <c r="AF54" s="15"/>
      <c r="AG54" s="15"/>
      <c r="AH54" s="229">
        <f>gmprop(AH36,AN36,AJ37,AN37,AP33,AP34,AP35,AP36,AP37,AP38,AP39,AP40,AP41,AP42,AR33,AR34,AR35,AR36,AR37,AR38,AR39,AR40,AR41,AR42,AQ32,101)</f>
        <v>0.7849661390583218</v>
      </c>
      <c r="AI54" s="229"/>
      <c r="AJ54" s="230"/>
      <c r="AK54" s="232">
        <f>gmprop(AK36,AN36,AM38,AN37,AP33,AP34,AP35,AP36,AP37,AP38,AP39,AP40,AP41,AP42,AS33,AS34,AS35,AS36,AS37,AS38,AS39,AS40,AS41,AS42,AQ32,101)</f>
        <v>0.8933750552284698</v>
      </c>
      <c r="AL54" s="229"/>
      <c r="AM54" s="229"/>
      <c r="AN54" s="128" t="s">
        <v>192</v>
      </c>
      <c r="AS54" s="9"/>
      <c r="AU54" s="15" t="s">
        <v>105</v>
      </c>
      <c r="AV54" s="15"/>
      <c r="AW54" s="219">
        <v>100</v>
      </c>
      <c r="AX54" s="219"/>
      <c r="AY54" s="15" t="s">
        <v>106</v>
      </c>
      <c r="AZ54" s="149" t="s">
        <v>195</v>
      </c>
    </row>
    <row r="55" spans="1:52" ht="11.2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E55" s="81" t="s">
        <v>165</v>
      </c>
      <c r="AF55" s="15"/>
      <c r="AG55" s="15"/>
      <c r="AH55" s="235">
        <f>AH44/AH54</f>
        <v>3821.8209050379237</v>
      </c>
      <c r="AI55" s="235"/>
      <c r="AJ55" s="236"/>
      <c r="AK55" s="243">
        <f>AK44/AK54</f>
        <v>3821.820905037924</v>
      </c>
      <c r="AL55" s="237"/>
      <c r="AM55" s="237"/>
      <c r="AN55" s="129" t="s">
        <v>161</v>
      </c>
      <c r="AS55" s="9"/>
      <c r="AU55" s="61" t="s">
        <v>107</v>
      </c>
      <c r="AV55" s="61"/>
      <c r="AW55" s="216">
        <f>maprop(AW52,AY52,AW54,AW53,AY53,0)</f>
        <v>2.0000000000001705</v>
      </c>
      <c r="AX55" s="216"/>
      <c r="AY55" s="100" t="s">
        <v>108</v>
      </c>
      <c r="AZ55" s="101">
        <f>tempconv(rh_twb(AW52,AY52,AW54,0,AW53,AY53,0,1),"℃",AY55)</f>
        <v>1.999</v>
      </c>
    </row>
    <row r="56" spans="1:52" ht="11.2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E56" s="81" t="s">
        <v>157</v>
      </c>
      <c r="AF56" s="15"/>
      <c r="AG56" s="15"/>
      <c r="AH56" s="229">
        <f>gmprop(AH36,AN36,AJ37,AN37,AP33,AP34,AP35,AP36,AP37,AP38,AP39,AP40,AP41,AP42,AR33,AR34,AR35,AR36,AR37,AR38,AR39,AR40,AR41,AR42,AQ32,104)</f>
        <v>0.48421029933449483</v>
      </c>
      <c r="AI56" s="229"/>
      <c r="AJ56" s="230"/>
      <c r="AK56" s="232">
        <f>gmprop(AK36,AN36,AM38,AN37,AP33,AP34,AP35,AP36,AP37,AP38,AP39,AP40,AP41,AP42,AS33,AS34,AS35,AS36,AS37,AS38,AS39,AS40,AS41,AS42,AQ32,104)</f>
        <v>9.688913363987753</v>
      </c>
      <c r="AL56" s="229"/>
      <c r="AM56" s="229"/>
      <c r="AN56" s="128" t="s">
        <v>160</v>
      </c>
      <c r="AS56" s="9"/>
      <c r="AU56" s="65" t="s">
        <v>109</v>
      </c>
      <c r="AV56" s="65"/>
      <c r="AW56" s="102" t="s">
        <v>110</v>
      </c>
      <c r="AX56" s="103" t="s">
        <v>111</v>
      </c>
      <c r="AY56" s="85"/>
      <c r="AZ56" s="111" t="s">
        <v>117</v>
      </c>
    </row>
    <row r="57" spans="1:52" ht="11.2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E57" s="107" t="s">
        <v>170</v>
      </c>
      <c r="AF57" s="61"/>
      <c r="AG57" s="61"/>
      <c r="AH57" s="257">
        <f>AH55*(AK56-AH56)</f>
        <v>35178.72659715847</v>
      </c>
      <c r="AI57" s="257"/>
      <c r="AJ57" s="257"/>
      <c r="AK57" s="257"/>
      <c r="AL57" s="257"/>
      <c r="AM57" s="257"/>
      <c r="AN57" s="9" t="str">
        <f>AN48</f>
        <v>kcal/h</v>
      </c>
      <c r="AS57" s="9"/>
      <c r="AU57" s="104" t="s">
        <v>112</v>
      </c>
      <c r="AV57" s="13"/>
      <c r="AW57" s="69">
        <f>((fprop("Saturated","H2O L.P.",AW52,AY52,0,"","Yes",0,1,10)+1.033227)*AW54/100)/(pressconv(AW53,AY53,"kg/cm2.g")+1.033227)*100</f>
        <v>0.696756195696393</v>
      </c>
      <c r="AX57" s="69">
        <f>gmconv(AU57,AU58,AU59,AU60,AU61,"","","","","",AW57,AW58,AW59,AW60,AW61,"","","","","",AW56,15)</f>
        <v>0.43450554099283034</v>
      </c>
      <c r="AY57" s="105"/>
      <c r="AZ57" s="112">
        <v>0</v>
      </c>
    </row>
    <row r="58" spans="1:52" ht="11.2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S58" s="9"/>
      <c r="AU58" s="81" t="s">
        <v>113</v>
      </c>
      <c r="AV58" s="15"/>
      <c r="AW58" s="75">
        <f>(100-AW57)*AZ58/AZ62</f>
        <v>77.54227116028724</v>
      </c>
      <c r="AX58" s="75">
        <f>gmconv(AU57,AU58,AU59,AU60,AU61,"","","","","",AW57,AW58,AW59,AW60,AW61,"","","","","",AW56,25)</f>
        <v>75.19340154631624</v>
      </c>
      <c r="AY58" s="106"/>
      <c r="AZ58" s="60">
        <v>78.084</v>
      </c>
    </row>
    <row r="59" spans="1:52" ht="11.2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N59" s="9"/>
      <c r="AS59" s="9"/>
      <c r="AU59" s="81" t="s">
        <v>114</v>
      </c>
      <c r="AV59" s="15"/>
      <c r="AW59" s="75">
        <f>(100-AW57)*AZ59/AZ62</f>
        <v>20.80227036726132</v>
      </c>
      <c r="AX59" s="75">
        <f>gmconv(AU57,AU58,AU59,AU60,AU61,"","","","","",AW57,AW58,AW59,AW60,AW61,"","","","","",AW56,35)</f>
        <v>23.041981338277097</v>
      </c>
      <c r="AY59" s="106"/>
      <c r="AZ59" s="60">
        <v>20.9476</v>
      </c>
    </row>
    <row r="60" spans="1:52" ht="11.2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N60" s="9"/>
      <c r="AS60" s="9"/>
      <c r="AU60" s="81" t="s">
        <v>115</v>
      </c>
      <c r="AV60" s="15"/>
      <c r="AW60" s="75">
        <f>(100-AW57)*AZ60/AZ62</f>
        <v>0.9275201227358778</v>
      </c>
      <c r="AX60" s="75">
        <f>gmconv(AU57,AU58,AU59,AU60,AU61,"","","","","",AW57,AW58,AW59,AW60,AW61,"","","","","",AW56,45)</f>
        <v>1.2826074957676075</v>
      </c>
      <c r="AY60" s="106"/>
      <c r="AZ60" s="60">
        <v>0.934</v>
      </c>
    </row>
    <row r="61" spans="1:52" ht="11.2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E61" s="9"/>
      <c r="AN61" s="9"/>
      <c r="AS61" s="9"/>
      <c r="AU61" s="107" t="s">
        <v>116</v>
      </c>
      <c r="AV61" s="61"/>
      <c r="AW61" s="82">
        <f>(100-AW57)*AZ61/AZ62</f>
        <v>0.031182154019171904</v>
      </c>
      <c r="AX61" s="82">
        <f>gmconv(AU57,AU58,AU59,AU60,AU61,"","","","","",AW57,AW58,AW59,AW60,AW61,"","","","","",AW56,55)</f>
        <v>0.0475040786462209</v>
      </c>
      <c r="AY61" s="108"/>
      <c r="AZ61" s="113">
        <v>0.0314</v>
      </c>
    </row>
    <row r="62" spans="1:52" ht="11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36"/>
      <c r="AE62" s="9"/>
      <c r="AN62" s="9"/>
      <c r="AS62" s="9"/>
      <c r="AU62" s="65" t="s">
        <v>90</v>
      </c>
      <c r="AV62" s="65"/>
      <c r="AW62" s="86">
        <f>SUM(AW57:AW61)</f>
        <v>100</v>
      </c>
      <c r="AX62" s="109">
        <f>SUM(AX57:AX61)</f>
        <v>100</v>
      </c>
      <c r="AY62" s="110"/>
      <c r="AZ62" s="111">
        <f>SUM(AZ57:AZ61)</f>
        <v>99.997</v>
      </c>
    </row>
    <row r="63" spans="1:30" ht="11.25" customHeight="1">
      <c r="A63" s="9" t="str">
        <f>cosymbol</f>
        <v> NTES</v>
      </c>
      <c r="AB63" s="41" t="str">
        <f>coname</f>
        <v>Narai Thermal engineering Services </v>
      </c>
      <c r="AC63" s="9"/>
      <c r="AD63" s="9"/>
    </row>
    <row r="64" ht="11.25" customHeight="1"/>
    <row r="111" ht="13.5" customHeight="1"/>
    <row r="112" ht="13.5" customHeight="1"/>
  </sheetData>
  <mergeCells count="112">
    <mergeCell ref="U23:V23"/>
    <mergeCell ref="W23:X23"/>
    <mergeCell ref="U24:V24"/>
    <mergeCell ref="W24:X24"/>
    <mergeCell ref="K49:M49"/>
    <mergeCell ref="O49:Q49"/>
    <mergeCell ref="K42:M42"/>
    <mergeCell ref="O42:Q42"/>
    <mergeCell ref="O45:Q45"/>
    <mergeCell ref="O46:Q46"/>
    <mergeCell ref="K45:M45"/>
    <mergeCell ref="K46:M46"/>
    <mergeCell ref="K47:M47"/>
    <mergeCell ref="O47:Q47"/>
    <mergeCell ref="AH57:AM57"/>
    <mergeCell ref="AE49:AM49"/>
    <mergeCell ref="AH55:AJ55"/>
    <mergeCell ref="AK55:AM55"/>
    <mergeCell ref="AH54:AJ54"/>
    <mergeCell ref="AK54:AM54"/>
    <mergeCell ref="AH53:AJ53"/>
    <mergeCell ref="AK53:AM53"/>
    <mergeCell ref="AH56:AJ56"/>
    <mergeCell ref="AK56:AM56"/>
    <mergeCell ref="O40:Q40"/>
    <mergeCell ref="K41:M41"/>
    <mergeCell ref="K44:M44"/>
    <mergeCell ref="O44:Q44"/>
    <mergeCell ref="AH51:AJ51"/>
    <mergeCell ref="AK51:AM51"/>
    <mergeCell ref="AH52:AJ52"/>
    <mergeCell ref="AK52:AM52"/>
    <mergeCell ref="AH47:AJ47"/>
    <mergeCell ref="AK47:AM47"/>
    <mergeCell ref="AH48:AM48"/>
    <mergeCell ref="AH36:AJ36"/>
    <mergeCell ref="AK36:AM36"/>
    <mergeCell ref="AH39:AJ39"/>
    <mergeCell ref="AK39:AM39"/>
    <mergeCell ref="AH33:AJ33"/>
    <mergeCell ref="AK33:AM33"/>
    <mergeCell ref="AH34:AJ34"/>
    <mergeCell ref="AK34:AM34"/>
    <mergeCell ref="AU31:AZ31"/>
    <mergeCell ref="X1:AB1"/>
    <mergeCell ref="X2:AB2"/>
    <mergeCell ref="A2:T4"/>
    <mergeCell ref="AH29:AM29"/>
    <mergeCell ref="AH30:AM30"/>
    <mergeCell ref="AH31:AJ31"/>
    <mergeCell ref="AK31:AM31"/>
    <mergeCell ref="AP30:AS30"/>
    <mergeCell ref="AP29:AS29"/>
    <mergeCell ref="AQ32:AS32"/>
    <mergeCell ref="AW32:AX32"/>
    <mergeCell ref="AE46:AF47"/>
    <mergeCell ref="AH35:AJ35"/>
    <mergeCell ref="AW33:AX33"/>
    <mergeCell ref="AW34:AX34"/>
    <mergeCell ref="AW40:AX40"/>
    <mergeCell ref="AW36:AX36"/>
    <mergeCell ref="AW37:AX37"/>
    <mergeCell ref="AH32:AJ32"/>
    <mergeCell ref="AW39:AX39"/>
    <mergeCell ref="AK40:AM40"/>
    <mergeCell ref="AL46:AM46"/>
    <mergeCell ref="AW35:AX35"/>
    <mergeCell ref="AK35:AM35"/>
    <mergeCell ref="AW38:AX38"/>
    <mergeCell ref="AK43:AM43"/>
    <mergeCell ref="AK44:AM44"/>
    <mergeCell ref="AK45:AM45"/>
    <mergeCell ref="AJ46:AK46"/>
    <mergeCell ref="AH50:AJ50"/>
    <mergeCell ref="AK50:AM50"/>
    <mergeCell ref="AE43:AG44"/>
    <mergeCell ref="AW45:AX45"/>
    <mergeCell ref="AH43:AJ43"/>
    <mergeCell ref="AH44:AJ44"/>
    <mergeCell ref="AH45:AJ45"/>
    <mergeCell ref="AH46:AI46"/>
    <mergeCell ref="AW47:AX47"/>
    <mergeCell ref="AW44:AX44"/>
    <mergeCell ref="AW41:AX41"/>
    <mergeCell ref="AW43:AX43"/>
    <mergeCell ref="AH40:AJ40"/>
    <mergeCell ref="AW42:AX42"/>
    <mergeCell ref="AH41:AI41"/>
    <mergeCell ref="AJ41:AK41"/>
    <mergeCell ref="AL41:AM41"/>
    <mergeCell ref="AH42:AJ42"/>
    <mergeCell ref="AK42:AM42"/>
    <mergeCell ref="AE37:AE38"/>
    <mergeCell ref="O39:Q39"/>
    <mergeCell ref="K43:M43"/>
    <mergeCell ref="O43:Q43"/>
    <mergeCell ref="AE41:AE42"/>
    <mergeCell ref="O41:Q41"/>
    <mergeCell ref="K38:M38"/>
    <mergeCell ref="O38:Q38"/>
    <mergeCell ref="K39:M39"/>
    <mergeCell ref="K40:M40"/>
    <mergeCell ref="D47:E48"/>
    <mergeCell ref="K48:M48"/>
    <mergeCell ref="O48:Q48"/>
    <mergeCell ref="AW55:AX55"/>
    <mergeCell ref="AW51:AX51"/>
    <mergeCell ref="AW52:AX52"/>
    <mergeCell ref="AW48:AX48"/>
    <mergeCell ref="AW53:AX53"/>
    <mergeCell ref="AW54:AX54"/>
    <mergeCell ref="AW50:AX50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AZ100"/>
  <sheetViews>
    <sheetView view="pageBreakPreview" zoomScaleSheetLayoutView="100" workbookViewId="0" topLeftCell="A1">
      <selection activeCell="W4" sqref="W4"/>
    </sheetView>
  </sheetViews>
  <sheetFormatPr defaultColWidth="8.88671875" defaultRowHeight="13.5"/>
  <cols>
    <col min="1" max="30" width="2.77734375" style="1" customWidth="1"/>
    <col min="31" max="63" width="3.77734375" style="1" customWidth="1"/>
    <col min="64" max="16384" width="8.88671875" style="1" customWidth="1"/>
  </cols>
  <sheetData>
    <row r="1" spans="1:32" ht="11.25" customHeight="1">
      <c r="A1" s="19"/>
      <c r="B1" s="19" t="str">
        <f>title2&amp;"  :"</f>
        <v>Technical Guide  :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42" t="s">
        <v>17</v>
      </c>
      <c r="V1" s="43"/>
      <c r="W1" s="43"/>
      <c r="X1" s="211" t="str">
        <f>docno</f>
        <v>TG - WSP - 100</v>
      </c>
      <c r="Y1" s="204"/>
      <c r="Z1" s="204"/>
      <c r="AA1" s="204"/>
      <c r="AB1" s="204"/>
      <c r="AC1" s="24"/>
      <c r="AD1" s="25"/>
      <c r="AE1" s="25"/>
      <c r="AF1" s="25"/>
    </row>
    <row r="2" spans="1:32" ht="11.25" customHeight="1">
      <c r="A2" s="207" t="str">
        <f>title</f>
        <v>White Smoke Prevention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8"/>
      <c r="U2" s="44" t="s">
        <v>18</v>
      </c>
      <c r="V2" s="45"/>
      <c r="W2" s="45"/>
      <c r="X2" s="212" t="s">
        <v>37</v>
      </c>
      <c r="Y2" s="205"/>
      <c r="Z2" s="205"/>
      <c r="AA2" s="205"/>
      <c r="AB2" s="205"/>
      <c r="AC2" s="29"/>
      <c r="AD2" s="25"/>
      <c r="AE2" s="25"/>
      <c r="AF2" s="25"/>
    </row>
    <row r="3" spans="1:32" ht="11.2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8"/>
      <c r="U3" s="44" t="s">
        <v>19</v>
      </c>
      <c r="V3" s="45"/>
      <c r="W3" s="45"/>
      <c r="X3" s="30">
        <v>0</v>
      </c>
      <c r="Y3" s="52">
        <v>1</v>
      </c>
      <c r="Z3" s="52"/>
      <c r="AA3" s="52"/>
      <c r="AB3" s="53"/>
      <c r="AC3" s="29"/>
      <c r="AD3" s="25"/>
      <c r="AE3" s="25"/>
      <c r="AF3" s="25"/>
    </row>
    <row r="4" spans="1:32" ht="11.2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10"/>
      <c r="U4" s="46" t="s">
        <v>20</v>
      </c>
      <c r="V4" s="47"/>
      <c r="W4" s="47"/>
      <c r="X4" s="48"/>
      <c r="Y4" s="49">
        <v>3</v>
      </c>
      <c r="Z4" s="34" t="s">
        <v>21</v>
      </c>
      <c r="AA4" s="35">
        <f>sheetqty</f>
        <v>4</v>
      </c>
      <c r="AB4" s="47"/>
      <c r="AC4" s="24"/>
      <c r="AE4" s="25"/>
      <c r="AF4" s="25"/>
    </row>
    <row r="5" spans="1:32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AC5" s="24"/>
      <c r="AD5" s="25"/>
      <c r="AE5" s="25"/>
      <c r="AF5" s="25"/>
    </row>
    <row r="6" spans="1:32" ht="11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AC6" s="24"/>
      <c r="AE6" s="25"/>
      <c r="AF6" s="25"/>
    </row>
    <row r="7" spans="1:29" ht="11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AC7" s="37"/>
    </row>
    <row r="8" spans="1:29" ht="11.25" customHeight="1">
      <c r="A8" s="9"/>
      <c r="B8" s="9"/>
      <c r="C8" s="38" t="s">
        <v>25</v>
      </c>
      <c r="D8" s="51" t="s">
        <v>62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AC8" s="37"/>
    </row>
    <row r="9" spans="1:29" ht="11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AC9" s="37"/>
    </row>
    <row r="10" spans="1:27" ht="11.25" customHeight="1">
      <c r="A10" s="9"/>
      <c r="B10" s="9"/>
      <c r="C10" s="9"/>
      <c r="D10" s="57" t="s">
        <v>148</v>
      </c>
      <c r="E10" s="36"/>
      <c r="F10" s="36"/>
      <c r="G10" s="36"/>
      <c r="H10" s="36"/>
      <c r="I10" s="36"/>
      <c r="J10" s="36"/>
      <c r="K10" s="36"/>
      <c r="L10" s="36"/>
      <c r="M10" s="36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39" t="s">
        <v>60</v>
      </c>
      <c r="Z11" s="9"/>
      <c r="AA11" s="9"/>
    </row>
    <row r="12" spans="1:29" ht="11.25" customHeight="1">
      <c r="A12" s="9"/>
      <c r="B12" s="9"/>
      <c r="C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C12" s="37"/>
    </row>
    <row r="13" spans="1:27" ht="11.25" customHeight="1">
      <c r="A13" s="9"/>
      <c r="B13" s="9"/>
      <c r="C13" s="9"/>
      <c r="D13" s="1" t="s">
        <v>179</v>
      </c>
      <c r="H13" s="9"/>
      <c r="I13" s="9"/>
      <c r="J13" s="9"/>
      <c r="K13" s="9" t="s">
        <v>54</v>
      </c>
      <c r="L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 t="str">
        <f>D15</f>
        <v>W1</v>
      </c>
      <c r="Z13" s="9"/>
      <c r="AA13" s="9"/>
    </row>
    <row r="14" spans="1:27" ht="11.25" customHeight="1">
      <c r="A14" s="9"/>
      <c r="B14" s="9"/>
      <c r="C14" s="9"/>
      <c r="D14" s="1" t="s">
        <v>48</v>
      </c>
      <c r="H14" s="9"/>
      <c r="I14" s="9"/>
      <c r="J14" s="9"/>
      <c r="K14" s="9" t="s">
        <v>55</v>
      </c>
      <c r="L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Z14" s="9"/>
      <c r="AA14" s="9"/>
    </row>
    <row r="15" spans="1:27" ht="11.25" customHeight="1">
      <c r="A15" s="9"/>
      <c r="B15" s="9"/>
      <c r="C15" s="9"/>
      <c r="D15" s="1" t="s">
        <v>49</v>
      </c>
      <c r="H15" s="9"/>
      <c r="I15" s="9"/>
      <c r="J15" s="9"/>
      <c r="K15" s="9" t="s">
        <v>56</v>
      </c>
      <c r="L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1.25" customHeight="1">
      <c r="A16" s="9"/>
      <c r="B16" s="9"/>
      <c r="C16" s="9"/>
      <c r="D16" s="1" t="s">
        <v>50</v>
      </c>
      <c r="H16" s="9"/>
      <c r="I16" s="9"/>
      <c r="J16" s="9"/>
      <c r="K16" s="9" t="s">
        <v>57</v>
      </c>
      <c r="L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1.25" customHeight="1">
      <c r="A17" s="9"/>
      <c r="B17" s="9"/>
      <c r="C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1.25" customHeight="1">
      <c r="A18" s="9"/>
      <c r="B18" s="9"/>
      <c r="C18" s="9"/>
      <c r="H18" s="9"/>
      <c r="I18" s="9"/>
      <c r="J18" s="9"/>
      <c r="K18" s="9"/>
      <c r="L18" s="9"/>
      <c r="M18" s="9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10" t="str">
        <f>K15</f>
        <v>W3</v>
      </c>
      <c r="Z18" s="36"/>
      <c r="AA18" s="36"/>
    </row>
    <row r="19" spans="1:29" ht="11.25" customHeight="1">
      <c r="A19" s="36"/>
      <c r="B19" s="36"/>
      <c r="C19" s="36"/>
      <c r="H19" s="9"/>
      <c r="I19" s="9"/>
      <c r="J19" s="9"/>
      <c r="K19" s="9"/>
      <c r="L19" s="9"/>
      <c r="M19" s="9"/>
      <c r="N19" s="16" t="s">
        <v>46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7"/>
      <c r="AC19" s="37"/>
    </row>
    <row r="20" spans="1:29" ht="11.25" customHeight="1">
      <c r="A20" s="36"/>
      <c r="B20" s="36"/>
      <c r="C20" s="36"/>
      <c r="D20" s="37"/>
      <c r="E20" s="37"/>
      <c r="F20" s="37"/>
      <c r="G20" s="272" t="s">
        <v>180</v>
      </c>
      <c r="H20" s="272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7"/>
      <c r="AC20" s="37"/>
    </row>
    <row r="21" spans="1:29" ht="11.25" customHeight="1">
      <c r="A21" s="36"/>
      <c r="B21" s="36"/>
      <c r="C21" s="36"/>
      <c r="D21" s="9"/>
      <c r="E21" s="9"/>
      <c r="F21" s="9"/>
      <c r="G21" s="272" t="s">
        <v>51</v>
      </c>
      <c r="H21" s="272"/>
      <c r="I21" s="9"/>
      <c r="J21" s="9"/>
      <c r="K21" s="9"/>
      <c r="L21" s="9"/>
      <c r="M21" s="9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10" t="str">
        <f>G22</f>
        <v>W2</v>
      </c>
      <c r="Z21" s="36"/>
      <c r="AA21" s="36"/>
      <c r="AB21" s="37"/>
      <c r="AC21" s="37"/>
    </row>
    <row r="22" spans="1:29" ht="11.25" customHeight="1">
      <c r="A22" s="36"/>
      <c r="B22" s="36"/>
      <c r="C22" s="36"/>
      <c r="G22" s="272" t="s">
        <v>52</v>
      </c>
      <c r="H22" s="272"/>
      <c r="I22" s="9"/>
      <c r="J22" s="9"/>
      <c r="K22" s="9"/>
      <c r="L22" s="9"/>
      <c r="M22" s="9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  <c r="AC22" s="37"/>
    </row>
    <row r="23" spans="1:29" ht="11.25" customHeight="1">
      <c r="A23" s="36"/>
      <c r="B23" s="36"/>
      <c r="C23" s="36"/>
      <c r="D23" s="37"/>
      <c r="E23" s="37"/>
      <c r="F23" s="37"/>
      <c r="G23" s="272" t="s">
        <v>53</v>
      </c>
      <c r="H23" s="272"/>
      <c r="I23" s="36"/>
      <c r="J23" s="36"/>
      <c r="K23" s="36"/>
      <c r="L23" s="37"/>
      <c r="M23" s="36"/>
      <c r="N23" s="165" t="s">
        <v>45</v>
      </c>
      <c r="O23" s="36"/>
      <c r="P23" s="36"/>
      <c r="Q23" s="36"/>
      <c r="R23" s="36"/>
      <c r="S23" s="10" t="str">
        <f>G23</f>
        <v>T2</v>
      </c>
      <c r="T23" s="272" t="str">
        <f>K16</f>
        <v>T3</v>
      </c>
      <c r="U23" s="272"/>
      <c r="V23" s="272" t="str">
        <f>D16</f>
        <v>T1</v>
      </c>
      <c r="W23" s="272"/>
      <c r="Y23" s="36"/>
      <c r="Z23" s="36"/>
      <c r="AA23" s="36"/>
      <c r="AB23" s="37"/>
      <c r="AC23" s="37"/>
    </row>
    <row r="24" spans="1:29" ht="11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10">
        <f>O44</f>
        <v>4</v>
      </c>
      <c r="T24" s="294">
        <f>S44</f>
        <v>19.630000000000013</v>
      </c>
      <c r="U24" s="294"/>
      <c r="V24" s="273">
        <f>K44</f>
        <v>25</v>
      </c>
      <c r="W24" s="273"/>
      <c r="X24" s="37"/>
      <c r="Y24" s="37"/>
      <c r="Z24" s="37"/>
      <c r="AA24" s="37"/>
      <c r="AB24" s="37"/>
      <c r="AC24" s="37"/>
    </row>
    <row r="25" spans="1:29" ht="11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7"/>
      <c r="W25" s="37"/>
      <c r="Y25" s="37"/>
      <c r="Z25" s="37"/>
      <c r="AA25" s="37"/>
      <c r="AB25" s="37"/>
      <c r="AC25" s="37"/>
    </row>
    <row r="26" spans="1:29" ht="11.25" customHeight="1">
      <c r="A26" s="36"/>
      <c r="B26" s="36"/>
      <c r="C26" s="36"/>
      <c r="D26" s="36" t="s">
        <v>233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7"/>
      <c r="W26" s="37"/>
      <c r="X26" s="37"/>
      <c r="Y26" s="37"/>
      <c r="Z26" s="37"/>
      <c r="AA26" s="37"/>
      <c r="AB26" s="37"/>
      <c r="AC26" s="37"/>
    </row>
    <row r="27" spans="1:29" ht="11.25" customHeight="1">
      <c r="A27" s="36"/>
      <c r="B27" s="36"/>
      <c r="C27" s="36"/>
      <c r="D27" s="36" t="s">
        <v>176</v>
      </c>
      <c r="E27" s="36"/>
      <c r="F27" s="36"/>
      <c r="G27" s="36"/>
      <c r="H27" s="36"/>
      <c r="I27" s="10" t="s">
        <v>152</v>
      </c>
      <c r="J27" s="36"/>
      <c r="K27" s="36" t="s">
        <v>177</v>
      </c>
      <c r="L27" s="36"/>
      <c r="M27" s="36"/>
      <c r="O27" s="36"/>
      <c r="P27" s="36"/>
      <c r="Q27" s="36"/>
      <c r="R27" s="36"/>
      <c r="S27" s="36"/>
      <c r="T27" s="36"/>
      <c r="U27" s="36"/>
      <c r="V27" s="37"/>
      <c r="W27" s="37"/>
      <c r="X27" s="37"/>
      <c r="Y27" s="37"/>
      <c r="Z27" s="37"/>
      <c r="AA27" s="37"/>
      <c r="AB27" s="37"/>
      <c r="AC27" s="37"/>
    </row>
    <row r="28" spans="1:52" ht="11.2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7"/>
      <c r="W28" s="37"/>
      <c r="X28" s="37"/>
      <c r="Y28" s="37"/>
      <c r="Z28" s="37"/>
      <c r="AA28" s="37"/>
      <c r="AB28" s="37"/>
      <c r="AC28" s="37"/>
      <c r="AH28" s="9"/>
      <c r="AI28" s="9"/>
      <c r="AJ28" s="9"/>
      <c r="AK28" s="9"/>
      <c r="AL28" s="9"/>
      <c r="AM28" s="9"/>
      <c r="AN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1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E29" s="13" t="s">
        <v>130</v>
      </c>
      <c r="AF29" s="13"/>
      <c r="AG29" s="13"/>
      <c r="AH29" s="251" t="s">
        <v>143</v>
      </c>
      <c r="AI29" s="251"/>
      <c r="AJ29" s="251"/>
      <c r="AK29" s="251"/>
      <c r="AL29" s="251"/>
      <c r="AM29" s="251"/>
      <c r="AP29" s="255" t="s">
        <v>119</v>
      </c>
      <c r="AQ29" s="255"/>
      <c r="AR29" s="255"/>
      <c r="AS29" s="255"/>
      <c r="AT29" s="9"/>
      <c r="AU29" s="9"/>
      <c r="AV29" s="114"/>
      <c r="AW29" s="114"/>
      <c r="AX29" s="114"/>
      <c r="AY29" s="114"/>
      <c r="AZ29" s="114"/>
    </row>
    <row r="30" spans="1:52" ht="11.25" customHeight="1">
      <c r="A30" s="36"/>
      <c r="B30" s="36"/>
      <c r="C30" s="36"/>
      <c r="D30" s="127" t="s">
        <v>149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E30" s="15" t="s">
        <v>131</v>
      </c>
      <c r="AF30" s="15"/>
      <c r="AG30" s="15"/>
      <c r="AH30" s="252" t="s">
        <v>70</v>
      </c>
      <c r="AI30" s="252"/>
      <c r="AJ30" s="252"/>
      <c r="AK30" s="252"/>
      <c r="AL30" s="252"/>
      <c r="AM30" s="252"/>
      <c r="AP30" s="255" t="str">
        <f>IF(AH30&lt;&gt;"Gas Mixture","***",IF(AW51&lt;&gt;"Yes",AU30,AU51))</f>
        <v>Moist Air</v>
      </c>
      <c r="AQ30" s="255"/>
      <c r="AR30" s="255"/>
      <c r="AS30" s="255"/>
      <c r="AT30" s="9"/>
      <c r="AU30" s="115" t="s">
        <v>71</v>
      </c>
      <c r="AV30" s="18"/>
      <c r="AW30" s="18"/>
      <c r="AX30" s="18"/>
      <c r="AY30" s="18"/>
      <c r="AZ30" s="18"/>
    </row>
    <row r="31" spans="1:52" ht="11.2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E31" s="15"/>
      <c r="AF31" s="15"/>
      <c r="AG31" s="15"/>
      <c r="AH31" s="250" t="s">
        <v>72</v>
      </c>
      <c r="AI31" s="250"/>
      <c r="AJ31" s="253"/>
      <c r="AK31" s="254" t="s">
        <v>73</v>
      </c>
      <c r="AL31" s="250"/>
      <c r="AM31" s="250"/>
      <c r="AP31" s="117"/>
      <c r="AQ31" s="118" t="s">
        <v>74</v>
      </c>
      <c r="AR31" s="119" t="str">
        <f>AH31</f>
        <v>Inlet</v>
      </c>
      <c r="AS31" s="119" t="str">
        <f>AK31</f>
        <v>Outlet</v>
      </c>
      <c r="AT31" s="39"/>
      <c r="AU31" s="250" t="str">
        <f>AR31</f>
        <v>Inlet</v>
      </c>
      <c r="AV31" s="250"/>
      <c r="AW31" s="250"/>
      <c r="AX31" s="250"/>
      <c r="AY31" s="250"/>
      <c r="AZ31" s="250"/>
    </row>
    <row r="32" spans="1:52" ht="11.25" customHeight="1">
      <c r="A32" s="36"/>
      <c r="B32" s="36"/>
      <c r="C32" s="36"/>
      <c r="D32" s="10" t="str">
        <f>D13</f>
        <v>ma1</v>
      </c>
      <c r="E32" s="10"/>
      <c r="F32" s="10" t="s">
        <v>181</v>
      </c>
      <c r="G32" s="10" t="str">
        <f>G20</f>
        <v>ma2</v>
      </c>
      <c r="H32" s="10"/>
      <c r="I32" s="10" t="s">
        <v>182</v>
      </c>
      <c r="J32" s="10" t="str">
        <f>K13</f>
        <v>ma3</v>
      </c>
      <c r="K32" s="10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E32" s="74" t="s">
        <v>132</v>
      </c>
      <c r="AF32" s="74"/>
      <c r="AG32" s="15"/>
      <c r="AH32" s="249">
        <v>25000</v>
      </c>
      <c r="AI32" s="249"/>
      <c r="AJ32" s="249"/>
      <c r="AK32" s="62" t="s">
        <v>153</v>
      </c>
      <c r="AL32" s="13"/>
      <c r="AM32" s="13"/>
      <c r="AP32" s="63" t="str">
        <f>IF(AH30&lt;&gt;"Gas Mixture","- N/A -","Yes")</f>
        <v>Yes</v>
      </c>
      <c r="AQ32" s="244" t="s">
        <v>75</v>
      </c>
      <c r="AR32" s="244"/>
      <c r="AS32" s="244"/>
      <c r="AT32" s="9"/>
      <c r="AU32" s="64" t="str">
        <f>IF(AP32&lt;&gt;"Yes","- N/A -",IF(AW51="Yes","- N/A -","Yes"))</f>
        <v>- N/A -</v>
      </c>
      <c r="AV32" s="65"/>
      <c r="AW32" s="245" t="s">
        <v>75</v>
      </c>
      <c r="AX32" s="245"/>
      <c r="AY32" s="66" t="s">
        <v>87</v>
      </c>
      <c r="AZ32" s="67" t="s">
        <v>88</v>
      </c>
    </row>
    <row r="33" spans="1:52" ht="11.25" customHeight="1">
      <c r="A33" s="36"/>
      <c r="B33" s="36"/>
      <c r="C33" s="36"/>
      <c r="D33" s="10" t="str">
        <f>D32</f>
        <v>ma1</v>
      </c>
      <c r="E33" s="10" t="str">
        <f>D14</f>
        <v>h1</v>
      </c>
      <c r="F33" s="10" t="s">
        <v>181</v>
      </c>
      <c r="G33" s="10" t="str">
        <f>G32</f>
        <v>ma2</v>
      </c>
      <c r="H33" s="10" t="str">
        <f>G21</f>
        <v>h2</v>
      </c>
      <c r="I33" s="10" t="s">
        <v>182</v>
      </c>
      <c r="J33" s="10" t="str">
        <f>J32</f>
        <v>ma3</v>
      </c>
      <c r="K33" s="10" t="str">
        <f>K14</f>
        <v>h3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E33" s="15"/>
      <c r="AF33" s="15" t="s">
        <v>120</v>
      </c>
      <c r="AG33" s="15"/>
      <c r="AH33" s="246">
        <f>AH32</f>
        <v>25000</v>
      </c>
      <c r="AI33" s="246"/>
      <c r="AJ33" s="247"/>
      <c r="AK33" s="256">
        <f>AH32</f>
        <v>25000</v>
      </c>
      <c r="AL33" s="246"/>
      <c r="AM33" s="246"/>
      <c r="AN33" s="9"/>
      <c r="AP33" s="68" t="str">
        <f>IF(AP32&lt;&gt;"Yes","***",IF(AW51&lt;&gt;"Yes",AU33,AU57))</f>
        <v>H2O</v>
      </c>
      <c r="AQ33" s="69">
        <f>IF(AP32&lt;&gt;"Yes","***",IF(AW51&lt;&gt;"Yes",IF(AQ32=AY32,AY33,AZ33),IF(AQ32=AW56,AW57,AX57)))</f>
        <v>1.5641491458463115</v>
      </c>
      <c r="AR33" s="70">
        <f>IF(AP32&lt;&gt;"Yes","***",gmconv(AP33,AP34,AP35,AP36,AP37,AP38,AP39,AP40,AP41,AP42,AQ33,AQ34,AQ35,AQ36,AQ37,AQ38,AQ39,AQ40,AQ41,AQ42,AQ32,IF(AQ32="volume%",14,15)))</f>
        <v>1.5641491458463113</v>
      </c>
      <c r="AS33" s="70">
        <f>IF(AP32&lt;&gt;"Yes","***",gmconv(AP33,AP34,AP35,AP36,AP37,AP38,AP39,AP40,AP41,AP42,AQ33,AQ34,AQ35,AQ36,AQ37,AQ38,AQ39,AQ40,AQ41,AQ42,AQ32,IF(AQ32="volume%",14,15)))</f>
        <v>1.5641491458463113</v>
      </c>
      <c r="AT33" s="9"/>
      <c r="AU33" s="71" t="s">
        <v>76</v>
      </c>
      <c r="AV33" s="71"/>
      <c r="AW33" s="248">
        <v>3.85</v>
      </c>
      <c r="AX33" s="248"/>
      <c r="AY33" s="72" t="str">
        <f>IF(AU32&lt;&gt;"Yes","***",IF(OR(AU33="",AW33="",AW33&lt;=0),0,gmconv(AU33,AU34,AU35,AU36,AU37,AU38,AU39,AU40,AU41,AU42,AW33,AW34,AW35,AW36,AW37,AW38,AW39,AW40,AW41,AW42,AW32,14)))</f>
        <v>***</v>
      </c>
      <c r="AZ33" s="73" t="str">
        <f>IF(AU32&lt;&gt;"Yes","***",IF(OR(AU33="",AW33="",AW33&lt;=0),0,gmconv(AU33,AU34,AU35,AU36,AU37,AU38,AU39,AU40,AU41,AU42,AW33,AW34,AW35,AW36,AW37,AW38,AW39,AW40,AW41,AW42,AW32,15)))</f>
        <v>***</v>
      </c>
    </row>
    <row r="34" spans="1:52" ht="11.25" customHeight="1">
      <c r="A34" s="36"/>
      <c r="B34" s="36"/>
      <c r="C34" s="36"/>
      <c r="D34" s="10" t="str">
        <f>D33</f>
        <v>ma1</v>
      </c>
      <c r="E34" s="10" t="str">
        <f>D15</f>
        <v>W1</v>
      </c>
      <c r="F34" s="10" t="s">
        <v>181</v>
      </c>
      <c r="G34" s="10" t="str">
        <f>G33</f>
        <v>ma2</v>
      </c>
      <c r="H34" s="10" t="str">
        <f>G22</f>
        <v>W2</v>
      </c>
      <c r="I34" s="10" t="s">
        <v>182</v>
      </c>
      <c r="J34" s="10" t="str">
        <f>J33</f>
        <v>ma3</v>
      </c>
      <c r="K34" s="10" t="str">
        <f>K15</f>
        <v>W3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E34" s="74"/>
      <c r="AF34" s="74" t="s">
        <v>121</v>
      </c>
      <c r="AG34" s="15"/>
      <c r="AH34" s="246">
        <f>AH32-AH33</f>
        <v>0</v>
      </c>
      <c r="AI34" s="246"/>
      <c r="AJ34" s="247"/>
      <c r="AK34" s="256">
        <f>AH32-AK33</f>
        <v>0</v>
      </c>
      <c r="AL34" s="246"/>
      <c r="AM34" s="246"/>
      <c r="AN34" s="9"/>
      <c r="AO34" s="9"/>
      <c r="AP34" s="74" t="str">
        <f>IF(AP32&lt;&gt;"Yes","***",IF(AW51&lt;&gt;"Yes",AU34,AU58))</f>
        <v>N2</v>
      </c>
      <c r="AQ34" s="75">
        <f>IF(AP32&lt;&gt;"Yes","***",IF(AW51&lt;&gt;"Yes",IF(AQ32=AY32,AY34,AZ34),IF(AQ32=AW56,AW58,AX58)))</f>
        <v>76.86495572962926</v>
      </c>
      <c r="AR34" s="76">
        <f>IF(AP32&lt;&gt;"Yes","***",gmconv(AP33,AP34,AP35,AP36,AP37,AP38,AP39,AP40,AP41,AP42,AQ33,AQ34,AQ35,AQ36,AQ37,AQ38,AQ39,AQ40,AQ41,AQ42,AQ32,IF(AQ32="volume%",24,25)))</f>
        <v>76.86495572962924</v>
      </c>
      <c r="AS34" s="76">
        <f>IF(AP32&lt;&gt;"Yes","***",gmconv(AP33,AP34,AP35,AP36,AP37,AP38,AP39,AP40,AP41,AP42,AQ33,AQ34,AQ35,AQ36,AQ37,AQ38,AQ39,AQ40,AQ41,AQ42,AQ32,IF(AQ32="volume%",24,25)))</f>
        <v>76.86495572962924</v>
      </c>
      <c r="AT34" s="9"/>
      <c r="AU34" s="15" t="s">
        <v>77</v>
      </c>
      <c r="AV34" s="15"/>
      <c r="AW34" s="227">
        <v>0</v>
      </c>
      <c r="AX34" s="227"/>
      <c r="AY34" s="77" t="str">
        <f>IF(AU32&lt;&gt;"Yes","***",IF(OR(AU34="",AW34="",AW34&lt;=0),0,gmconv(AU33,AU34,AU35,AU36,AU37,AU38,AU39,AU40,AU41,AU42,AW33,AW34,AW35,AW36,AW37,AW38,AW39,AW40,AW41,AW42,AW32,24)))</f>
        <v>***</v>
      </c>
      <c r="AZ34" s="75" t="str">
        <f>IF(AU32&lt;&gt;"Yes","***",IF(OR(AU34="",AW34="",AW34&lt;=0),0,gmconv(AU33,AU34,AU35,AU36,AU37,AU38,AU39,AU40,AU41,AU42,AW33,AW34,AW35,AW36,AW37,AW38,AW39,AW40,AW41,AW42,AW32,25)))</f>
        <v>***</v>
      </c>
    </row>
    <row r="35" spans="1:52" ht="11.25" customHeight="1">
      <c r="A35" s="9"/>
      <c r="B35" s="9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7"/>
      <c r="AE35" s="15"/>
      <c r="AF35" s="122" t="s">
        <v>139</v>
      </c>
      <c r="AG35" s="15"/>
      <c r="AH35" s="246">
        <f>AR51</f>
        <v>0</v>
      </c>
      <c r="AI35" s="246"/>
      <c r="AJ35" s="247"/>
      <c r="AK35" s="241">
        <f>AS51</f>
        <v>0</v>
      </c>
      <c r="AL35" s="242"/>
      <c r="AM35" s="242"/>
      <c r="AN35" s="9" t="s">
        <v>85</v>
      </c>
      <c r="AO35" s="9"/>
      <c r="AP35" s="74" t="str">
        <f>IF(AP32&lt;&gt;"Yes","***",IF(AW51&lt;&gt;"Yes",AU35,AU59))</f>
        <v>O2</v>
      </c>
      <c r="AQ35" s="75">
        <f>IF(AP32&lt;&gt;"Yes","***",IF(AW51&lt;&gt;"Yes",IF(AQ32=AY32,AY35,AZ35),IF(AQ32=AW56,AW59,AX59)))</f>
        <v>20.620566910532016</v>
      </c>
      <c r="AR35" s="76">
        <f>IF(AP32&lt;&gt;"Yes","***",gmconv(AP33,AP34,AP35,AP36,AP37,AP38,AP39,AP40,AP41,AP42,AQ33,AQ34,AQ35,AQ36,AQ37,AQ38,AQ39,AQ40,AQ41,AQ42,AQ32,IF(AQ32="volume%",34,35)))</f>
        <v>20.620566910532013</v>
      </c>
      <c r="AS35" s="76">
        <f>IF(AP32&lt;&gt;"Yes","***",gmconv(AP33,AP34,AP35,AP36,AP37,AP38,AP39,AP40,AP41,AP42,AQ33,AQ34,AQ35,AQ36,AQ37,AQ38,AQ39,AQ40,AQ41,AQ42,AQ32,IF(AQ32="volume%",34,35)))</f>
        <v>20.620566910532013</v>
      </c>
      <c r="AT35" s="9"/>
      <c r="AU35" s="15" t="s">
        <v>78</v>
      </c>
      <c r="AV35" s="15"/>
      <c r="AW35" s="227">
        <v>76</v>
      </c>
      <c r="AX35" s="227"/>
      <c r="AY35" s="77" t="str">
        <f>IF(AU32&lt;&gt;"Yes","***",IF(OR(AU35="",AW35="",AW35&lt;=0),0,gmconv(AU33,AU34,AU35,AU36,AU37,AU38,AU39,AU40,AU41,AU42,AW33,AW34,AW35,AW36,AW37,AW38,AW39,AW40,AW41,AW42,AW32,34)))</f>
        <v>***</v>
      </c>
      <c r="AZ35" s="75" t="str">
        <f>IF(AU32&lt;&gt;"Yes","***",IF(OR(AU35="",AW35="",AW35&lt;=0),0,gmconv(AU33,AU34,AU35,AU36,AU37,AU38,AU39,AU40,AU41,AU42,AW33,AW34,AW35,AW36,AW37,AW38,AW39,AW40,AW41,AW42,AW32,35)))</f>
        <v>***</v>
      </c>
    </row>
    <row r="36" spans="1:52" ht="11.25" customHeight="1">
      <c r="A36" s="9"/>
      <c r="B36" s="9"/>
      <c r="C36" s="293" t="s">
        <v>183</v>
      </c>
      <c r="D36" s="130" t="str">
        <f>H33</f>
        <v>h2</v>
      </c>
      <c r="E36" s="10" t="s">
        <v>184</v>
      </c>
      <c r="F36" s="10" t="str">
        <f>K33</f>
        <v>h3</v>
      </c>
      <c r="G36" s="292" t="s">
        <v>182</v>
      </c>
      <c r="H36" s="10" t="str">
        <f>H34</f>
        <v>W2</v>
      </c>
      <c r="I36" s="10" t="s">
        <v>184</v>
      </c>
      <c r="J36" s="10" t="str">
        <f>K34</f>
        <v>W3</v>
      </c>
      <c r="K36" s="292" t="s">
        <v>182</v>
      </c>
      <c r="L36" s="10" t="str">
        <f>D32</f>
        <v>ma1</v>
      </c>
      <c r="M36" s="9"/>
      <c r="N36" s="9"/>
      <c r="O36" s="9"/>
      <c r="P36" s="9"/>
      <c r="Q36" s="9"/>
      <c r="R36" s="9"/>
      <c r="S36" s="9"/>
      <c r="T36" s="9"/>
      <c r="U36" s="9"/>
      <c r="AC36" s="37"/>
      <c r="AE36" s="15" t="s">
        <v>133</v>
      </c>
      <c r="AF36" s="15"/>
      <c r="AG36" s="15"/>
      <c r="AH36" s="258">
        <v>25</v>
      </c>
      <c r="AI36" s="258"/>
      <c r="AJ36" s="259"/>
      <c r="AK36" s="260">
        <f>AH36</f>
        <v>25</v>
      </c>
      <c r="AL36" s="258"/>
      <c r="AM36" s="258"/>
      <c r="AN36" s="9" t="s">
        <v>82</v>
      </c>
      <c r="AO36" s="9"/>
      <c r="AP36" s="74" t="str">
        <f>IF(AP32&lt;&gt;"Yes","***",IF(AW51&lt;&gt;"Yes",AU36,AU60))</f>
        <v>Ar</v>
      </c>
      <c r="AQ36" s="75">
        <f>IF(AP32&lt;&gt;"Yes","***",IF(AW51&lt;&gt;"Yes",IF(AQ32=AY32,AY36,AZ36),IF(AQ32=AW56,AW60,AX60)))</f>
        <v>0.9194184295306814</v>
      </c>
      <c r="AR36" s="76">
        <f>IF(AP32&lt;&gt;"Yes","***",gmconv(AP33,AP34,AP35,AP36,AP37,AP38,AP39,AP40,AP41,AP42,AQ33,AQ34,AQ35,AQ36,AQ37,AQ38,AQ39,AQ40,AQ41,AQ42,AQ32,IF(AQ32="volume%",44,45)))</f>
        <v>0.9194184295306813</v>
      </c>
      <c r="AS36" s="76">
        <f>IF(AP32&lt;&gt;"Yes","***",gmconv(AP33,AP34,AP35,AP36,AP37,AP38,AP39,AP40,AP41,AP42,AQ33,AQ34,AQ35,AQ36,AQ37,AQ38,AQ39,AQ40,AQ41,AQ42,AQ32,IF(AQ32="volume%",44,45)))</f>
        <v>0.9194184295306813</v>
      </c>
      <c r="AT36" s="9"/>
      <c r="AU36" s="15" t="s">
        <v>79</v>
      </c>
      <c r="AV36" s="15"/>
      <c r="AW36" s="227">
        <v>20.15</v>
      </c>
      <c r="AX36" s="227"/>
      <c r="AY36" s="77" t="str">
        <f>IF(AU32&lt;&gt;"Yes","***",IF(OR(AU36="",AW36="",AW36&lt;=0),0,gmconv(AU33,AU34,AU35,AU36,AU37,AU38,AU39,AU40,AU41,AU42,AW33,AW34,AW35,AW36,AW37,AW38,AW39,AW40,AW41,AW42,AW32,44)))</f>
        <v>***</v>
      </c>
      <c r="AZ36" s="75" t="str">
        <f>IF(AU32&lt;&gt;"Yes","***",IF(OR(AU36="",AW36="",AW36&lt;=0),0,gmconv(AU33,AU34,AU35,AU36,AU37,AU38,AU39,AU40,AU41,AU42,AW33,AW34,AW35,AW36,AW37,AW38,AW39,AW40,AW41,AW42,AW32,45)))</f>
        <v>***</v>
      </c>
    </row>
    <row r="37" spans="1:52" ht="11.25" customHeight="1">
      <c r="A37" s="9"/>
      <c r="B37" s="9"/>
      <c r="C37" s="293"/>
      <c r="D37" s="131" t="str">
        <f>F36</f>
        <v>h3</v>
      </c>
      <c r="E37" s="131" t="s">
        <v>184</v>
      </c>
      <c r="F37" s="131" t="str">
        <f>E33</f>
        <v>h1</v>
      </c>
      <c r="G37" s="292"/>
      <c r="H37" s="131" t="str">
        <f>J36</f>
        <v>W3</v>
      </c>
      <c r="I37" s="131" t="s">
        <v>184</v>
      </c>
      <c r="J37" s="131" t="str">
        <f>E34</f>
        <v>W1</v>
      </c>
      <c r="K37" s="292"/>
      <c r="L37" s="131" t="str">
        <f>G32</f>
        <v>ma2</v>
      </c>
      <c r="M37" s="9"/>
      <c r="N37" s="9"/>
      <c r="O37" s="9"/>
      <c r="P37" s="9"/>
      <c r="Q37" s="9"/>
      <c r="R37" s="9"/>
      <c r="S37" s="9"/>
      <c r="T37" s="9"/>
      <c r="U37" s="9"/>
      <c r="AE37" s="221" t="s">
        <v>134</v>
      </c>
      <c r="AF37" s="45" t="s">
        <v>141</v>
      </c>
      <c r="AG37" s="15"/>
      <c r="AH37" s="80">
        <v>0</v>
      </c>
      <c r="AI37" s="80"/>
      <c r="AJ37" s="116">
        <f>AH37-IF(AN38&lt;&gt;"Absolute",0,pressconv(1.033227,"kg/cm2.g",AN37))</f>
        <v>0</v>
      </c>
      <c r="AK37" s="125"/>
      <c r="AL37" s="15"/>
      <c r="AM37" s="15"/>
      <c r="AN37" s="9" t="s">
        <v>142</v>
      </c>
      <c r="AO37" s="9"/>
      <c r="AP37" s="74" t="str">
        <f>IF(AP32&lt;&gt;"Yes","***",IF(AW51&lt;&gt;"Yes",AU37,AU61))</f>
        <v>CO2</v>
      </c>
      <c r="AQ37" s="75">
        <f>IF(AP32&lt;&gt;"Yes","***",IF(AW51&lt;&gt;"Yes",IF(AQ32=AY32,AY37,AZ37),IF(AQ32=AW56,AW61,AX61)))</f>
        <v>0.030909784461738105</v>
      </c>
      <c r="AR37" s="76">
        <f>IF(AP32&lt;&gt;"Yes","***",gmconv(AP33,AP34,AP35,AP36,AP37,AP38,AP39,AP40,AP41,AP42,AQ33,AQ34,AQ35,AQ36,AQ37,AQ38,AQ39,AQ40,AQ41,AQ42,AQ32,IF(AQ32="volume%",54,55)))</f>
        <v>0.030909784461738102</v>
      </c>
      <c r="AS37" s="76">
        <f>IF(AP32&lt;&gt;"Yes","***",gmconv(AP33,AP34,AP35,AP36,AP37,AP38,AP39,AP40,AP41,AP42,AQ33,AQ34,AQ35,AQ36,AQ37,AQ38,AQ39,AQ40,AQ41,AQ42,AQ32,IF(AQ32="volume%",54,55)))</f>
        <v>0.030909784461738102</v>
      </c>
      <c r="AT37" s="9"/>
      <c r="AU37" s="15" t="s">
        <v>80</v>
      </c>
      <c r="AV37" s="15"/>
      <c r="AW37" s="227">
        <v>0</v>
      </c>
      <c r="AX37" s="227"/>
      <c r="AY37" s="77" t="str">
        <f>IF(AU32&lt;&gt;"Yes","***",IF(OR(AU37="",AW37="",AW37&lt;=0),0,gmconv(AU33,AU34,AU35,AU36,AU37,AU38,AU39,AU40,AU41,AU42,AW33,AW34,AW35,AW36,AW37,AW38,AW39,AW40,AW41,AW42,AW32,54)))</f>
        <v>***</v>
      </c>
      <c r="AZ37" s="75" t="str">
        <f>IF(AU32&lt;&gt;"Yes","***",IF(OR(AU37="",AW37="",AW37&lt;=0),0,gmconv(AU33,AU34,AU35,AU36,AU37,AU38,AU39,AU40,AU41,AU42,AW33,AW34,AW35,AW36,AW37,AW38,AW39,AW40,AW41,AW42,AW32,55)))</f>
        <v>***</v>
      </c>
    </row>
    <row r="38" spans="1:52" ht="11.25" customHeight="1">
      <c r="A38" s="9"/>
      <c r="B38" s="9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AE38" s="221"/>
      <c r="AF38" s="121" t="s">
        <v>140</v>
      </c>
      <c r="AG38" s="15"/>
      <c r="AH38" s="15"/>
      <c r="AI38" s="124"/>
      <c r="AJ38" s="80">
        <v>0</v>
      </c>
      <c r="AK38" s="78">
        <f>AH37-AJ38</f>
        <v>0</v>
      </c>
      <c r="AL38" s="59"/>
      <c r="AM38" s="116">
        <f>AJ37-AJ38</f>
        <v>0</v>
      </c>
      <c r="AN38" s="39" t="s">
        <v>84</v>
      </c>
      <c r="AO38" s="9"/>
      <c r="AP38" s="74">
        <f>IF(AP32&lt;&gt;"Yes","***",IF(AW51&lt;&gt;"Yes",AU38,""))</f>
      </c>
      <c r="AQ38" s="75">
        <f>IF(AP32&lt;&gt;"Yes","***",IF(AW51&lt;&gt;"Yes",IF(AQ32=AY32,AY38,AZ38),0))</f>
        <v>0</v>
      </c>
      <c r="AR38" s="76">
        <f>IF(AP32&lt;&gt;"Yes","***",gmconv(AP33,AP34,AP35,AP36,AP37,AP38,AP39,AP40,AP41,AP42,AQ33,AQ34,AQ35,AQ36,AQ37,AQ38,AQ39,AQ40,AQ41,AQ42,AQ32,IF(AQ32="volume%",64,65)))</f>
        <v>0</v>
      </c>
      <c r="AS38" s="76">
        <f>IF(AP32&lt;&gt;"Yes","***",gmconv(AP33,AP34,AP35,AP36,AP37,AP38,AP39,AP40,AP41,AP42,AQ33,AQ34,AQ35,AQ36,AQ37,AQ38,AQ39,AQ40,AQ41,AQ42,AQ32,IF(AQ32="volume%",64,65)))</f>
        <v>0</v>
      </c>
      <c r="AT38" s="9"/>
      <c r="AU38" s="15" t="s">
        <v>81</v>
      </c>
      <c r="AV38" s="15"/>
      <c r="AW38" s="227"/>
      <c r="AX38" s="227"/>
      <c r="AY38" s="77" t="str">
        <f>IF(AU32&lt;&gt;"Yes","***",IF(OR(AU38="",AW38="",AW38&lt;=0),0,gmconv(AU33,AU34,AU35,AU36,AU37,AU38,AU39,AU40,AU41,AU42,AW33,AW34,AW35,AW36,AW37,AW38,AW39,AW40,AW41,AW42,AW32,64)))</f>
        <v>***</v>
      </c>
      <c r="AZ38" s="75" t="str">
        <f>IF(AU32&lt;&gt;"Yes","***",IF(OR(AU38="",AW38="",AW38&lt;=0),0,gmconv(AU33,AU34,AU35,AU36,AU37,AU38,AU39,AU40,AU41,AU42,AW33,AW34,AW35,AW36,AW37,AW38,AW39,AW40,AW41,AW42,AW32,65)))</f>
        <v>***</v>
      </c>
    </row>
    <row r="39" spans="1:52" ht="11.25" customHeight="1">
      <c r="A39" s="9"/>
      <c r="B39" s="9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AE39" s="15" t="s">
        <v>107</v>
      </c>
      <c r="AF39" s="15"/>
      <c r="AG39" s="15"/>
      <c r="AH39" s="239">
        <f>IF(AH30&lt;&gt;"Gas Mixture","***",tempconv(AR47,AT47,AN39))</f>
        <v>13.863908273013408</v>
      </c>
      <c r="AI39" s="239"/>
      <c r="AJ39" s="261"/>
      <c r="AK39" s="262">
        <f>IF(AH30&lt;&gt;"Gas Mixture","***",tempconv(AS47,AT47,AN39))</f>
        <v>13.863908273013408</v>
      </c>
      <c r="AL39" s="239"/>
      <c r="AM39" s="239"/>
      <c r="AN39" s="9" t="str">
        <f>AN36</f>
        <v>℃</v>
      </c>
      <c r="AO39" s="9"/>
      <c r="AP39" s="74">
        <f>IF(AP32&lt;&gt;"Yes","***",IF(AW51&lt;&gt;"Yes",AU39,""))</f>
      </c>
      <c r="AQ39" s="75">
        <f>IF(AP32&lt;&gt;"Yes","***",IF(AW51&lt;&gt;"Yes",IF(AQ32=AY32,AY39,AZ39),0))</f>
        <v>0</v>
      </c>
      <c r="AR39" s="76">
        <f>IF(AP32&lt;&gt;"Yes","***",gmconv(AP33,AP34,AP35,AP36,AP37,AP38,AP39,AP40,AP41,AP42,AQ33,AQ34,AQ35,AQ36,AQ37,AQ38,AQ39,AQ40,AQ41,AQ42,AQ32,IF(AQ32="volume%",74,75)))</f>
        <v>0</v>
      </c>
      <c r="AS39" s="76">
        <f>IF(AP32&lt;&gt;"Yes","***",gmconv(AP33,AP34,AP35,AP36,AP37,AP38,AP39,AP40,AP41,AP42,AQ33,AQ34,AQ35,AQ36,AQ37,AQ38,AQ39,AQ40,AQ41,AQ42,AQ32,IF(AQ32="volume%",74,75)))</f>
        <v>0</v>
      </c>
      <c r="AT39" s="9"/>
      <c r="AU39" s="15" t="s">
        <v>81</v>
      </c>
      <c r="AV39" s="15"/>
      <c r="AW39" s="227"/>
      <c r="AX39" s="227"/>
      <c r="AY39" s="77" t="str">
        <f>IF(AU32&lt;&gt;"Yes","***",IF(OR(AU39="",AW39="",AW39&lt;=0),0,gmconv(AU33,AU34,AU35,AU36,AU37,AU38,AU39,AU40,AU41,AU42,AW33,AW34,AW35,AW36,AW37,AW38,AW39,AW40,AW41,AW42,AW32,74)))</f>
        <v>***</v>
      </c>
      <c r="AZ39" s="75" t="str">
        <f>IF(AU32&lt;&gt;"Yes","***",IF(OR(AU39="",AW39="",AW39&lt;=0),0,gmconv(AU33,AU34,AU35,AU36,AU37,AU38,AU39,AU40,AU41,AU42,AW33,AW34,AW35,AW36,AW37,AW38,AW39,AW40,AW41,AW42,AW32,75)))</f>
        <v>***</v>
      </c>
    </row>
    <row r="40" spans="1:52" ht="11.25" customHeight="1">
      <c r="A40" s="9"/>
      <c r="B40" s="9"/>
      <c r="C40" s="9"/>
      <c r="D40" s="16" t="s">
        <v>260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9"/>
      <c r="AE40" s="15" t="s">
        <v>135</v>
      </c>
      <c r="AF40" s="15"/>
      <c r="AG40" s="15"/>
      <c r="AH40" s="229">
        <f>gmprop(AH36,AN36,AJ37,AN37,AP33,AP34,AP35,AP36,AP37,AP38,AP39,AP40,AP41,AP42,AR33,AR34,AR35,AR36,AR37,AR38,AR39,AR40,AR41,AR42,AQ32,-1)</f>
        <v>28.793498678404745</v>
      </c>
      <c r="AI40" s="229"/>
      <c r="AJ40" s="230"/>
      <c r="AK40" s="232">
        <f>gmprop(AK36,AN36,AM38,AN37,AP33,AP34,AP35,AP36,AP37,AP38,AP39,AP40,AP41,AP42,AS33,AS34,AS35,AS36,AS37,AS38,AS39,AS40,AS41,AS42,AQ32,-1)</f>
        <v>28.793498678404745</v>
      </c>
      <c r="AL40" s="229"/>
      <c r="AM40" s="229"/>
      <c r="AN40" s="9"/>
      <c r="AO40" s="9"/>
      <c r="AP40" s="74">
        <f>IF(AP32&lt;&gt;"Yes","***",IF(AW51&lt;&gt;"Yes",AU40,""))</f>
      </c>
      <c r="AQ40" s="75">
        <f>IF(AP32&lt;&gt;"Yes","***",IF(AW51&lt;&gt;"Yes",IF(AQ32=AY32,AY40,AZ40),0))</f>
        <v>0</v>
      </c>
      <c r="AR40" s="76">
        <f>IF(AP32&lt;&gt;"Yes","***",gmconv(AP33,AP34,AP35,AP36,AP37,AP38,AP39,AP40,AP41,AP42,AQ33,AQ34,AQ35,AQ36,AQ37,AQ38,AQ39,AQ40,AQ41,AQ42,AQ32,IF(AQ32="volume%",84,85)))</f>
        <v>0</v>
      </c>
      <c r="AS40" s="76">
        <f>IF(AP32&lt;&gt;"Yes","***",gmconv(AP33,AP34,AP35,AP36,AP37,AP38,AP39,AP40,AP41,AP42,AQ33,AQ34,AQ35,AQ36,AQ37,AQ38,AQ39,AQ40,AQ41,AQ42,AQ32,IF(AQ32="volume%",84,85)))</f>
        <v>0</v>
      </c>
      <c r="AT40" s="9"/>
      <c r="AU40" s="15" t="s">
        <v>81</v>
      </c>
      <c r="AV40" s="15"/>
      <c r="AW40" s="227"/>
      <c r="AX40" s="227"/>
      <c r="AY40" s="77" t="str">
        <f>IF(AU32&lt;&gt;"Yes","***",IF(OR(AU40="",AW40="",AW40&lt;=0),0,gmconv(AU33,AU34,AU35,AU36,AU37,AU38,AU39,AU40,AU41,AU42,AW33,AW34,AW35,AW36,AW37,AW38,AW39,AW40,AW41,AW42,AW32,84)))</f>
        <v>***</v>
      </c>
      <c r="AZ40" s="75" t="str">
        <f>IF(AU32&lt;&gt;"Yes","***",IF(OR(AU40="",AW40="",AW40&lt;=0),0,gmconv(AU33,AU34,AU35,AU36,AU37,AU38,AU39,AU40,AU41,AU42,AW33,AW34,AW35,AW36,AW37,AW38,AW39,AW40,AW41,AW42,AW32,85)))</f>
        <v>***</v>
      </c>
    </row>
    <row r="41" spans="1:52" ht="11.25" customHeight="1">
      <c r="A41" s="9"/>
      <c r="B41" s="9"/>
      <c r="C41" s="9"/>
      <c r="D41" s="13" t="str">
        <f>AE29</f>
        <v>Fluid Name</v>
      </c>
      <c r="E41" s="13"/>
      <c r="F41" s="13"/>
      <c r="G41" s="13"/>
      <c r="H41" s="13"/>
      <c r="I41" s="13"/>
      <c r="J41" s="13"/>
      <c r="K41" s="13" t="str">
        <f>AH29</f>
        <v>Flue Gas</v>
      </c>
      <c r="L41" s="13"/>
      <c r="M41" s="13"/>
      <c r="N41" s="13"/>
      <c r="O41" s="13" t="str">
        <f>AH67</f>
        <v>Ambient Air</v>
      </c>
      <c r="P41" s="13"/>
      <c r="Q41" s="13"/>
      <c r="R41" s="13"/>
      <c r="S41" s="13" t="str">
        <f>O67</f>
        <v>Mixed Gas</v>
      </c>
      <c r="T41" s="13"/>
      <c r="U41" s="13"/>
      <c r="V41" s="13"/>
      <c r="W41" s="13"/>
      <c r="X41" s="13"/>
      <c r="AE41" s="224" t="s">
        <v>129</v>
      </c>
      <c r="AF41" s="45" t="s">
        <v>122</v>
      </c>
      <c r="AG41" s="45"/>
      <c r="AH41" s="229">
        <f>gmprop(AH36,AN36,AJ37,AN37,AP33,AP34,AP35,AP36,AP37,AP38,AP39,AP40,AP41,AP42,AR33,AR34,AR35,AR36,AR37,AR38,AR39,AR40,AR41,AR42,AQ32,2)</f>
        <v>1.1769140742087232</v>
      </c>
      <c r="AI41" s="230"/>
      <c r="AJ41" s="232">
        <f>gmprop((AH36+AK36)/2,AN36,(AJ37+AM38)/2,AN37,AP33,AP34,AP35,AP36,AP37,AP38,AP39,AP40,AP41,AP42,AR33,AR34,AR35,AR36,AR37,AR38,AR39,AR40,AR41,AR42,AQ32,2)</f>
        <v>1.1769140742087232</v>
      </c>
      <c r="AK41" s="230"/>
      <c r="AL41" s="232">
        <f>gmprop(AK36,AN36,AM38,AN37,AP33,AP34,AP35,AP36,AP37,AP38,AP39,AP40,AP41,AP42,AS33,AS34,AS35,AS36,AS37,AS38,AS39,AS40,AS41,AS42,AQ32,2)</f>
        <v>1.1769140742087232</v>
      </c>
      <c r="AM41" s="229"/>
      <c r="AN41" s="9" t="s">
        <v>123</v>
      </c>
      <c r="AO41" s="9"/>
      <c r="AP41" s="74">
        <f>IF(AP32&lt;&gt;"Yes","***",IF(AW51&lt;&gt;"Yes",AU41,""))</f>
      </c>
      <c r="AQ41" s="75">
        <f>IF(AP32&lt;&gt;"Yes","***",IF(AW51&lt;&gt;"Yes",IF(AQ32=AY32,AY41,AZ41),0))</f>
        <v>0</v>
      </c>
      <c r="AR41" s="76">
        <f>IF(AP32&lt;&gt;"Yes","***",gmconv(AP33,AP34,AP35,AP36,AP37,AP38,AP39,AP40,AP41,AP42,AQ33,AQ34,AQ35,AQ36,AQ37,AQ38,AQ39,AQ40,AQ41,AQ42,AQ32,IF(AQ32="volume%",94,95)))</f>
        <v>0</v>
      </c>
      <c r="AS41" s="76">
        <f>IF(AP32&lt;&gt;"Yes","***",gmconv(AP33,AP34,AP35,AP36,AP37,AP38,AP39,AP40,AP41,AP42,AQ33,AQ34,AQ35,AQ36,AQ37,AQ38,AQ39,AQ40,AQ41,AQ42,AQ32,IF(AQ32="volume%",94,95)))</f>
        <v>0</v>
      </c>
      <c r="AT41" s="9"/>
      <c r="AU41" s="15" t="s">
        <v>81</v>
      </c>
      <c r="AV41" s="15"/>
      <c r="AW41" s="227"/>
      <c r="AX41" s="227"/>
      <c r="AY41" s="77" t="str">
        <f>IF(AU32&lt;&gt;"Yes","***",IF(OR(AU41="",AW41="",AW41&lt;=0),0,gmconv(AU33,AU34,AU35,AU36,AU37,AU38,AU39,AU40,AU41,AU42,AW33,AW34,AW35,AW36,AW37,AW38,AW39,AW40,AW41,AW42,AW32,94)))</f>
        <v>***</v>
      </c>
      <c r="AZ41" s="75" t="str">
        <f>IF(AU32&lt;&gt;"Yes","***",IF(OR(AU41="",AW41="",AW41&lt;=0),0,gmconv(AU33,AU34,AU35,AU36,AU37,AU38,AU39,AU40,AU41,AU42,AW33,AW34,AW35,AW36,AW37,AW38,AW39,AW40,AW41,AW42,AW32,95)))</f>
        <v>***</v>
      </c>
    </row>
    <row r="42" spans="1:52" ht="11.25" customHeight="1">
      <c r="A42" s="36"/>
      <c r="B42" s="36"/>
      <c r="C42" s="9"/>
      <c r="D42" s="15"/>
      <c r="E42" s="15"/>
      <c r="F42" s="15"/>
      <c r="G42" s="15"/>
      <c r="H42" s="15"/>
      <c r="I42" s="15"/>
      <c r="J42" s="15"/>
      <c r="K42" s="225" t="s">
        <v>168</v>
      </c>
      <c r="L42" s="225"/>
      <c r="M42" s="225"/>
      <c r="N42" s="15"/>
      <c r="O42" s="225" t="s">
        <v>196</v>
      </c>
      <c r="P42" s="225"/>
      <c r="Q42" s="225"/>
      <c r="R42" s="15"/>
      <c r="S42" s="225" t="s">
        <v>200</v>
      </c>
      <c r="T42" s="225"/>
      <c r="U42" s="225"/>
      <c r="V42" s="15"/>
      <c r="W42" s="15"/>
      <c r="X42" s="15"/>
      <c r="Y42" s="37"/>
      <c r="Z42" s="37"/>
      <c r="AA42" s="37"/>
      <c r="AB42" s="37"/>
      <c r="AC42" s="37"/>
      <c r="AE42" s="224"/>
      <c r="AF42" s="45"/>
      <c r="AG42" s="45"/>
      <c r="AH42" s="229">
        <f>gmprop(AH36,AN36,AJ37,AN37,AP33,AP34,AP35,AP36,AP37,AP38,AP39,AP40,AP41,AP42,AR33,AR34,AR35,AR36,AR37,AR38,AR39,AR40,AR41,AR42,AQ32,-2)</f>
        <v>1.284630903259494</v>
      </c>
      <c r="AI42" s="229"/>
      <c r="AJ42" s="230"/>
      <c r="AK42" s="232">
        <f>gmprop(AK36,AN36,AM38,AN37,AP33,AP34,AP35,AP36,AP37,AP38,AP39,AP40,AP41,AP42,AS33,AS34,AS35,AS36,AS37,AS38,AS39,AS40,AS41,AS42,AQ32,-2)</f>
        <v>1.284630903259494</v>
      </c>
      <c r="AL42" s="229"/>
      <c r="AM42" s="229"/>
      <c r="AN42" s="9" t="s">
        <v>124</v>
      </c>
      <c r="AO42" s="9"/>
      <c r="AP42" s="47">
        <f>IF(AP32&lt;&gt;"Yes","***",IF(AW51&lt;&gt;"Yes",AU42,""))</f>
      </c>
      <c r="AQ42" s="82">
        <f>IF(AP32&lt;&gt;"Yes","***",IF(AW51&lt;&gt;"Yes",IF(AQ32=AY32,AY42,AZ42),0))</f>
        <v>0</v>
      </c>
      <c r="AR42" s="83">
        <f>IF(AP32&lt;&gt;"Yes","***",gmconv(AP33,AP34,AP35,AP36,AP37,AP38,AP39,AP40,AP41,AP42,AQ33,AQ34,AQ35,AQ36,AQ37,AQ38,AQ39,AQ40,AQ41,AQ42,AQ32,IF(AQ32="volume%",104,105)))</f>
        <v>0</v>
      </c>
      <c r="AS42" s="76">
        <f>IF(AP32&lt;&gt;"Yes","***",gmconv(AP33,AP34,AP35,AP36,AP37,AP38,AP39,AP40,AP41,AP42,AQ33,AQ34,AQ35,AQ36,AQ37,AQ38,AQ39,AQ40,AQ41,AQ42,AQ32,IF(AQ32="volume%",104,105)))</f>
        <v>0</v>
      </c>
      <c r="AT42" s="9"/>
      <c r="AU42" s="61" t="s">
        <v>81</v>
      </c>
      <c r="AV42" s="61"/>
      <c r="AW42" s="231"/>
      <c r="AX42" s="231"/>
      <c r="AY42" s="84" t="str">
        <f>IF(AU32&lt;&gt;"Yes","***",IF(OR(AU42="",AW42="",AW42&lt;=0),0,gmconv(AU33,AU34,AU35,AU36,AU37,AU38,AU39,AU40,AU41,AU42,AW33,AW34,AW35,AW36,AW37,AW38,AW39,AW40,AW41,AW42,AW32,104)))</f>
        <v>***</v>
      </c>
      <c r="AZ42" s="82" t="str">
        <f>IF(AU32&lt;&gt;"Yes","***",IF(OR(AU42="",AW42="",AW42&lt;=0),0,gmconv(AU33,AU34,AU35,AU36,AU37,AU38,AU39,AU40,AU41,AU42,AW33,AW34,AW35,AW36,AW37,AW38,AW39,AW40,AW41,AW42,AW32,105)))</f>
        <v>***</v>
      </c>
    </row>
    <row r="43" spans="1:52" ht="11.25" customHeight="1">
      <c r="A43" s="36"/>
      <c r="B43" s="36"/>
      <c r="C43" s="9"/>
      <c r="D43" s="15" t="s">
        <v>163</v>
      </c>
      <c r="E43" s="15"/>
      <c r="F43" s="15"/>
      <c r="G43" s="15"/>
      <c r="H43" s="15"/>
      <c r="I43" s="15"/>
      <c r="J43" s="91"/>
      <c r="K43" s="226">
        <f>AH32</f>
        <v>25000</v>
      </c>
      <c r="L43" s="226"/>
      <c r="M43" s="226"/>
      <c r="N43" s="15"/>
      <c r="O43" s="226">
        <f>AH70</f>
        <v>8000</v>
      </c>
      <c r="P43" s="226"/>
      <c r="Q43" s="226"/>
      <c r="R43" s="15"/>
      <c r="S43" s="226">
        <f>O70</f>
        <v>33000.88692344749</v>
      </c>
      <c r="T43" s="226"/>
      <c r="U43" s="226"/>
      <c r="V43" s="15" t="str">
        <f>AK32</f>
        <v>m3/h</v>
      </c>
      <c r="W43" s="15"/>
      <c r="X43" s="15"/>
      <c r="Y43" s="37"/>
      <c r="Z43" s="37"/>
      <c r="AA43" s="37"/>
      <c r="AB43" s="37"/>
      <c r="AC43" s="276">
        <f>K43+O43</f>
        <v>33000</v>
      </c>
      <c r="AD43" s="276"/>
      <c r="AE43" s="221" t="s">
        <v>132</v>
      </c>
      <c r="AF43" s="221"/>
      <c r="AG43" s="221"/>
      <c r="AH43" s="235">
        <f>AH32*IF(AK32="kg/h",1,IF(AK32="m3/h",1*AH41,IF(AK32="Nm3/h",1*AH42)))-AH35</f>
        <v>29422.85185521808</v>
      </c>
      <c r="AI43" s="235"/>
      <c r="AJ43" s="236"/>
      <c r="AK43" s="243">
        <f>AH32*IF(AK32="kg/h",1,IF(AK32="m3/h",1*AH41,IF(AK32="Nm3/h",1*AH42)))-AK35</f>
        <v>29422.85185521808</v>
      </c>
      <c r="AL43" s="237"/>
      <c r="AM43" s="237"/>
      <c r="AN43" s="9" t="s">
        <v>85</v>
      </c>
      <c r="AO43" s="9"/>
      <c r="AP43" s="85" t="s">
        <v>89</v>
      </c>
      <c r="AQ43" s="86">
        <f>IF(AP32&lt;&gt;"Yes","***",SUM(AQ33:AQ42))</f>
        <v>100.00000000000001</v>
      </c>
      <c r="AR43" s="86">
        <f>IF(AP32&lt;&gt;"Yes","***",SUM(AR33:AR42))</f>
        <v>99.99999999999999</v>
      </c>
      <c r="AS43" s="86">
        <f>IF(AP32&lt;&gt;"Yes","***",SUM(AS33:AS42))</f>
        <v>99.99999999999999</v>
      </c>
      <c r="AT43" s="9"/>
      <c r="AU43" s="65" t="s">
        <v>90</v>
      </c>
      <c r="AV43" s="65"/>
      <c r="AW43" s="228">
        <f>SUM(AW33:AX42)</f>
        <v>100</v>
      </c>
      <c r="AX43" s="228"/>
      <c r="AY43" s="87" t="str">
        <f>IF(AU32&lt;&gt;"Yes","***",SUM(AY33:AY42))</f>
        <v>***</v>
      </c>
      <c r="AZ43" s="86" t="str">
        <f>IF(AU32&lt;&gt;"Yes","***",SUM(AZ33:AZ42))</f>
        <v>***</v>
      </c>
    </row>
    <row r="44" spans="1:52" ht="11.25" customHeight="1">
      <c r="A44" s="36"/>
      <c r="B44" s="36"/>
      <c r="C44" s="9"/>
      <c r="D44" s="15" t="str">
        <f>AE36</f>
        <v>Temperature</v>
      </c>
      <c r="E44" s="15"/>
      <c r="F44" s="15"/>
      <c r="G44" s="15"/>
      <c r="H44" s="15"/>
      <c r="I44" s="15"/>
      <c r="J44" s="91" t="str">
        <f>D16</f>
        <v>T1</v>
      </c>
      <c r="K44" s="196">
        <f>AH36</f>
        <v>25</v>
      </c>
      <c r="L44" s="196"/>
      <c r="M44" s="196"/>
      <c r="N44" s="91" t="str">
        <f>G23</f>
        <v>T2</v>
      </c>
      <c r="O44" s="196">
        <f>AH74</f>
        <v>4</v>
      </c>
      <c r="P44" s="196"/>
      <c r="Q44" s="196"/>
      <c r="R44" s="91" t="str">
        <f>K16</f>
        <v>T3</v>
      </c>
      <c r="S44" s="239">
        <f>O74</f>
        <v>19.630000000000013</v>
      </c>
      <c r="T44" s="239"/>
      <c r="U44" s="239"/>
      <c r="V44" s="15" t="str">
        <f>AN36</f>
        <v>℃</v>
      </c>
      <c r="W44" s="15"/>
      <c r="X44" s="15"/>
      <c r="Y44" s="37"/>
      <c r="Z44" s="37"/>
      <c r="AA44" s="37"/>
      <c r="AB44" s="37"/>
      <c r="AC44" s="37"/>
      <c r="AE44" s="221"/>
      <c r="AF44" s="221"/>
      <c r="AG44" s="221"/>
      <c r="AH44" s="237">
        <f>AH43/AH41</f>
        <v>25000</v>
      </c>
      <c r="AI44" s="237"/>
      <c r="AJ44" s="238"/>
      <c r="AK44" s="243">
        <f>AK43/AL41</f>
        <v>25000</v>
      </c>
      <c r="AL44" s="237"/>
      <c r="AM44" s="237"/>
      <c r="AN44" s="39" t="s">
        <v>125</v>
      </c>
      <c r="AO44" s="9"/>
      <c r="AP44" s="13" t="str">
        <f>AU44</f>
        <v>M. Weight</v>
      </c>
      <c r="AQ44" s="88">
        <f>IF(AP32&lt;&gt;"Yes","***",gmconv(AP33,AP34,AP35,AP36,AP37,AP38,AP39,AP40,AP41,AP42,AQ33,AQ34,AQ35,AQ36,AQ37,AQ38,AQ39,AQ40,AQ41,AQ42,AQ32,-1))</f>
        <v>28.79349867840474</v>
      </c>
      <c r="AR44" s="89">
        <f>IF(AP32&lt;&gt;"Yes","***",gmconv(AP33,AP34,AP35,AP36,AP37,AP38,AP39,AP40,AP41,AP42,AR33,AR34,AR35,AR36,AR37,AR38,AR39,AR40,AR41,AR42,AQ32,-1))</f>
        <v>28.793498678404745</v>
      </c>
      <c r="AS44" s="89">
        <f>IF(AP32&lt;&gt;"Yes","***",gmconv(AP33,AP34,AP35,AP36,AP37,AP38,AP39,AP40,AP41,AP42,AS33,AS34,AS35,AS36,AS37,AS38,AS39,AS40,AS41,AS42,AQ32,-1))</f>
        <v>28.793498678404745</v>
      </c>
      <c r="AT44" s="9"/>
      <c r="AU44" s="13" t="s">
        <v>91</v>
      </c>
      <c r="AV44" s="13"/>
      <c r="AW44" s="240" t="str">
        <f>IF(AU32&lt;&gt;"Yes","***",gmconv(AU33,AU34,AU35,AU36,AU37,AU38,AU39,AU40,AU41,AU42,AW33,AW34,AW35,AW36,AW37,AW38,AW39,AW40,AW41,AW42,AW32,-1))</f>
        <v>***</v>
      </c>
      <c r="AX44" s="240"/>
      <c r="AY44" s="13"/>
      <c r="AZ44" s="90"/>
    </row>
    <row r="45" spans="1:52" ht="11.25" customHeight="1">
      <c r="A45" s="36"/>
      <c r="B45" s="36"/>
      <c r="C45" s="36"/>
      <c r="D45" s="74" t="s">
        <v>166</v>
      </c>
      <c r="E45" s="74"/>
      <c r="F45" s="74"/>
      <c r="G45" s="74"/>
      <c r="H45" s="74"/>
      <c r="I45" s="74"/>
      <c r="J45" s="91"/>
      <c r="K45" s="196">
        <f>AJ37</f>
        <v>0</v>
      </c>
      <c r="L45" s="196"/>
      <c r="M45" s="196"/>
      <c r="N45" s="91"/>
      <c r="O45" s="196">
        <f>AJ75</f>
        <v>0</v>
      </c>
      <c r="P45" s="196"/>
      <c r="Q45" s="196"/>
      <c r="R45" s="91"/>
      <c r="S45" s="196">
        <f>Q75</f>
        <v>0</v>
      </c>
      <c r="T45" s="196"/>
      <c r="U45" s="196"/>
      <c r="V45" s="74" t="str">
        <f>AN37</f>
        <v>mmH2O</v>
      </c>
      <c r="W45" s="15"/>
      <c r="X45" s="15"/>
      <c r="Y45" s="37"/>
      <c r="Z45" s="37"/>
      <c r="AA45" s="37"/>
      <c r="AB45" s="37"/>
      <c r="AE45" s="45" t="s">
        <v>136</v>
      </c>
      <c r="AF45" s="45"/>
      <c r="AG45" s="45"/>
      <c r="AH45" s="229">
        <f>gmprop(AH36,AN36,AJ37,AN37,AP33,AP34,AP35,AP36,AP37,AP38,AP39,AP40,AP41,AP42,AR33,AR34,AR35,AR36,AR37,AR38,AR39,AR40,AR41,AR42,AQ32,3)</f>
        <v>6.055670825448627</v>
      </c>
      <c r="AI45" s="229"/>
      <c r="AJ45" s="230"/>
      <c r="AK45" s="232">
        <f>gmprop(AK36,AN36,AM38,AN37,AP33,AP34,AP35,AP36,AP37,AP38,AP39,AP40,AP41,AP42,AS33,AS34,AS35,AS36,AS37,AS38,AS39,AS40,AS41,AS42,AQ32,3)</f>
        <v>6.055670825448627</v>
      </c>
      <c r="AL45" s="229"/>
      <c r="AM45" s="229"/>
      <c r="AN45" s="9" t="s">
        <v>126</v>
      </c>
      <c r="AO45" s="9"/>
      <c r="AP45" s="15" t="str">
        <f>AU45</f>
        <v>Density</v>
      </c>
      <c r="AQ45" s="91">
        <f>IF(AP32&lt;&gt;"Yes","***",gmconv(AP33,AP34,AP35,AP36,AP37,AP38,AP39,AP40,AP41,AP42,AQ33,AQ34,AQ35,AQ36,AQ37,AQ38,AQ39,AQ40,AQ41,AQ42,AQ32,-2))</f>
        <v>1.2846309032594938</v>
      </c>
      <c r="AR45" s="92">
        <f>IF(AP32&lt;&gt;"Yes","***",gmconv(AP33,AP34,AP35,AP36,AP37,AP38,AP39,AP40,AP41,AP42,AR33,AR34,AR35,AR36,AR37,AR38,AR39,AR40,AR41,AR42,AQ32,-2))</f>
        <v>1.284630903259494</v>
      </c>
      <c r="AS45" s="92">
        <f>IF(AP32&lt;&gt;"Yes","***",gmconv(AP33,AP34,AP35,AP36,AP37,AP38,AP39,AP40,AP41,AP42,AS33,AS34,AS35,AS36,AS37,AS38,AS39,AS40,AS41,AS42,AQ32,-2))</f>
        <v>1.284630903259494</v>
      </c>
      <c r="AT45" s="9" t="str">
        <f>AY45</f>
        <v>kg/Nm3</v>
      </c>
      <c r="AU45" s="15" t="s">
        <v>92</v>
      </c>
      <c r="AV45" s="15"/>
      <c r="AW45" s="229" t="str">
        <f>IF(AU32&lt;&gt;"Yes","***",gmconv(AU33,AU34,AU35,AU36,AU37,AU38,AU39,AU40,AU41,AU42,AW33,AW34,AW35,AW36,AW37,AW38,AW39,AW40,AW41,AW42,AW32,-2))</f>
        <v>***</v>
      </c>
      <c r="AX45" s="229"/>
      <c r="AY45" s="15" t="s">
        <v>93</v>
      </c>
      <c r="AZ45" s="79"/>
    </row>
    <row r="46" spans="1:52" ht="11.25" customHeight="1">
      <c r="A46" s="36"/>
      <c r="B46" s="36"/>
      <c r="C46" s="36"/>
      <c r="D46" s="74" t="str">
        <f>AE50</f>
        <v>Relative Humidity</v>
      </c>
      <c r="E46" s="74"/>
      <c r="F46" s="74"/>
      <c r="G46" s="74"/>
      <c r="H46" s="74"/>
      <c r="I46" s="74"/>
      <c r="J46" s="74"/>
      <c r="K46" s="271">
        <f>AH50</f>
        <v>50.000000000000014</v>
      </c>
      <c r="L46" s="271"/>
      <c r="M46" s="271"/>
      <c r="N46" s="74"/>
      <c r="O46" s="271">
        <f>AH88</f>
        <v>70.80000000000001</v>
      </c>
      <c r="P46" s="271"/>
      <c r="Q46" s="271"/>
      <c r="R46" s="74"/>
      <c r="S46" s="271">
        <f>O88</f>
        <v>58.02409478249735</v>
      </c>
      <c r="T46" s="271"/>
      <c r="U46" s="271"/>
      <c r="V46" s="74" t="str">
        <f>AN50</f>
        <v>%</v>
      </c>
      <c r="W46" s="74"/>
      <c r="X46" s="74"/>
      <c r="Y46" s="37"/>
      <c r="Z46" s="37"/>
      <c r="AA46" s="37"/>
      <c r="AB46" s="37"/>
      <c r="AC46" s="37"/>
      <c r="AE46" s="224" t="s">
        <v>137</v>
      </c>
      <c r="AF46" s="224"/>
      <c r="AG46" s="45" t="s">
        <v>122</v>
      </c>
      <c r="AH46" s="229">
        <f>gmprop(AH36,AN36,AJ37,AN37,AP33,AP34,AP35,AP36,AP37,AP38,AP39,AP40,AP41,AP42,AR33,AR34,AR35,AR36,AR37,AR38,AR39,AR40,AR41,AR42,AQ32,5)</f>
        <v>0.24230373255372503</v>
      </c>
      <c r="AI46" s="230"/>
      <c r="AJ46" s="232">
        <f>gmprop((AH36+AK36)/2,AN36,(AJ37+AM38)/2,AN37,AP33,AP34,AP35,AP36,AP37,AP38,AP39,AP40,AP41,AP42,AR33,AR34,AR35,AR36,AR37,AR38,AR39,AR40,AR41,AR42,AQ32,5)</f>
        <v>0.24230373255372503</v>
      </c>
      <c r="AK46" s="230"/>
      <c r="AL46" s="232">
        <f>gmprop(AK36,AN36,AM38,AN37,AP33,AP34,AP35,AP36,AP37,AP38,AP39,AP40,AP41,AP42,AS33,AS34,AS35,AS36,AS37,AS38,AS39,AS40,AS41,AS42,AQ32,5)</f>
        <v>0.24230373255372503</v>
      </c>
      <c r="AM46" s="229"/>
      <c r="AN46" s="123" t="s">
        <v>127</v>
      </c>
      <c r="AO46" s="9"/>
      <c r="AP46" s="7" t="str">
        <f>AU46</f>
        <v>Dew Point</v>
      </c>
      <c r="AQ46" s="15"/>
      <c r="AR46" s="93" t="s">
        <v>94</v>
      </c>
      <c r="AS46" s="80">
        <f>AY46</f>
        <v>3</v>
      </c>
      <c r="AT46" s="9"/>
      <c r="AU46" s="7" t="s">
        <v>95</v>
      </c>
      <c r="AV46" s="15"/>
      <c r="AW46" s="15" t="s">
        <v>94</v>
      </c>
      <c r="AX46" s="15"/>
      <c r="AY46" s="80">
        <v>3</v>
      </c>
      <c r="AZ46" s="79"/>
    </row>
    <row r="47" spans="1:52" ht="11.25" customHeight="1">
      <c r="A47" s="9"/>
      <c r="B47" s="9"/>
      <c r="C47" s="36"/>
      <c r="D47" s="36" t="s">
        <v>201</v>
      </c>
      <c r="E47" s="36"/>
      <c r="F47" s="36"/>
      <c r="G47" s="36"/>
      <c r="H47" s="36"/>
      <c r="I47" s="36"/>
      <c r="J47" s="41" t="str">
        <f>D15</f>
        <v>W1</v>
      </c>
      <c r="K47" s="223">
        <f>AH52</f>
        <v>0.00988311667678787</v>
      </c>
      <c r="L47" s="223"/>
      <c r="M47" s="223"/>
      <c r="N47" s="41" t="str">
        <f>G22</f>
        <v>W2</v>
      </c>
      <c r="O47" s="223">
        <f>AH90</f>
        <v>0.003555868202192544</v>
      </c>
      <c r="P47" s="223"/>
      <c r="Q47" s="223"/>
      <c r="R47" s="151" t="str">
        <f>K15</f>
        <v>W3</v>
      </c>
      <c r="S47" s="223">
        <f>O90</f>
        <v>0.008250616927637884</v>
      </c>
      <c r="T47" s="223"/>
      <c r="U47" s="223"/>
      <c r="V47" s="36" t="str">
        <f>AN52</f>
        <v>kg/kg.dry gas</v>
      </c>
      <c r="AC47" s="37"/>
      <c r="AE47" s="224"/>
      <c r="AF47" s="224"/>
      <c r="AG47" s="45" t="s">
        <v>144</v>
      </c>
      <c r="AH47" s="229">
        <f>gmprop(AH36,AN36,AJ37,AN37,AP33,AP34,AP35,AP36,AP37,AP38,AP39,AP40,AP41,AP42,AR33,AR34,AR35,AR36,AR37,AR38,AR39,AR40,AR41,AR42,AQ32,4)</f>
        <v>0.2422268330179451</v>
      </c>
      <c r="AI47" s="229"/>
      <c r="AJ47" s="230"/>
      <c r="AK47" s="232">
        <f>gmprop(AK36,AN36,AM38,AN37,AP33,AP34,AP35,AP36,AP37,AP38,AP39,AP40,AP41,AP42,AS33,AS34,AS35,AS36,AS37,AS38,AS39,AS40,AS41,AS42,AQ32,4)</f>
        <v>0.2422268330179451</v>
      </c>
      <c r="AL47" s="229"/>
      <c r="AM47" s="229"/>
      <c r="AN47" s="123" t="str">
        <f>AN46</f>
        <v>kcal/kg.℃</v>
      </c>
      <c r="AO47" s="9"/>
      <c r="AP47" s="9"/>
      <c r="AQ47" s="15" t="str">
        <f>AV47</f>
        <v>Water</v>
      </c>
      <c r="AR47" s="92">
        <f>IF(AP32&lt;&gt;"Yes","***",tempconv(dewpoint(AH36,AN36,AJ37,AN37,AS46,AP33,AP34,AP35,AP36,AP37,AP38,AP39,AP40,AP41,AP42,AR33,AR34,AR35,AR36,AR37,AR38,AR39,AR40,AR41,AR42,AW32,1),"℃",AT47))</f>
        <v>13.863908273013408</v>
      </c>
      <c r="AS47" s="92">
        <f>IF(AP32&lt;&gt;"Yes","***",tempconv(dewpoint(AK36,AN36,AM38,AN37,AS46,AP33,AP34,AP35,AP36,AP37,AP38,AP39,AP40,AP41,AP42,AS33,AS34,AS35,AS36,AS37,AS38,AS39,AS40,AS41,AS42,AW32,1),"℃",AT47))</f>
        <v>13.863908273013408</v>
      </c>
      <c r="AT47" s="9" t="str">
        <f>AY47</f>
        <v>℃</v>
      </c>
      <c r="AU47" s="9"/>
      <c r="AV47" s="15" t="s">
        <v>96</v>
      </c>
      <c r="AW47" s="239" t="str">
        <f>IF(AU32&lt;&gt;"Yes","***",tempconv(dewpoint(AH36,AN36,AJ37,AN37,AY46,AU33,AU34,AU35,AU36,AU37,AU38,AU39,AU40,AU41,AU42,AW33,AW34,AW35,AW36,AW37,AW38,AW39,AW40,AW41,AW42,AW32,1),"℃",AY47))</f>
        <v>***</v>
      </c>
      <c r="AX47" s="239"/>
      <c r="AY47" s="94" t="s">
        <v>97</v>
      </c>
      <c r="AZ47" s="79"/>
    </row>
    <row r="48" spans="1:52" ht="11.25" customHeight="1">
      <c r="A48" s="36"/>
      <c r="B48" s="36"/>
      <c r="C48" s="36"/>
      <c r="D48" s="15" t="str">
        <f>D43</f>
        <v>Flowrate</v>
      </c>
      <c r="E48" s="15"/>
      <c r="F48" s="15"/>
      <c r="G48" s="15" t="s">
        <v>193</v>
      </c>
      <c r="H48" s="15"/>
      <c r="I48" s="15"/>
      <c r="J48" s="91"/>
      <c r="K48" s="246">
        <f>AH44</f>
        <v>25000</v>
      </c>
      <c r="L48" s="246"/>
      <c r="M48" s="246"/>
      <c r="N48" s="91"/>
      <c r="O48" s="246">
        <f>AH70</f>
        <v>8000</v>
      </c>
      <c r="P48" s="246"/>
      <c r="Q48" s="246"/>
      <c r="R48" s="91"/>
      <c r="S48" s="246">
        <f>O82</f>
        <v>33000.88692344749</v>
      </c>
      <c r="T48" s="246"/>
      <c r="U48" s="246"/>
      <c r="V48" s="15" t="str">
        <f>AN44</f>
        <v>m3/h</v>
      </c>
      <c r="W48" s="15"/>
      <c r="X48" s="15"/>
      <c r="Y48" s="37"/>
      <c r="Z48" s="37"/>
      <c r="AA48" s="37"/>
      <c r="AB48" s="37"/>
      <c r="AC48" s="37"/>
      <c r="AE48" s="98" t="s">
        <v>199</v>
      </c>
      <c r="AF48" s="61"/>
      <c r="AG48" s="61"/>
      <c r="AH48" s="257">
        <f>AH43*AH45</f>
        <v>178175.10558114114</v>
      </c>
      <c r="AI48" s="257"/>
      <c r="AJ48" s="257"/>
      <c r="AK48" s="279">
        <f>AK43*AK45</f>
        <v>178175.10558114114</v>
      </c>
      <c r="AL48" s="257"/>
      <c r="AM48" s="257"/>
      <c r="AN48" s="9" t="s">
        <v>128</v>
      </c>
      <c r="AO48" s="9"/>
      <c r="AP48" s="18"/>
      <c r="AQ48" s="61" t="str">
        <f>AV48</f>
        <v>Sulfuric</v>
      </c>
      <c r="AR48" s="95">
        <f>IF(AP32&lt;&gt;"Yes","***",tempconv(dewpoint(AH36,AN36,AJ37,AN37,AS46,AP33,AP34,AP35,AP36,AP37,AP38,AP39,AP40,AP41,AP42,AR33,AR34,AR35,AR36,AR37,AR38,AR39,AR40,AR41,AR42,AW32,2),"℃",AT48))</f>
        <v>0</v>
      </c>
      <c r="AS48" s="95">
        <f>IF(AP32&lt;&gt;"Yes","***",tempconv(dewpoint(AK36,AN36,AM38,AN37,AS46,AP33,AP34,AP35,AP36,AP37,AP38,AP39,AP40,AP41,AP42,AS33,AS34,AS35,AS36,AS37,AS38,AS39,AS40,AS41,AS42,AW32,2),"℃",AT48))</f>
        <v>0</v>
      </c>
      <c r="AT48" s="9" t="str">
        <f>AT47</f>
        <v>℃</v>
      </c>
      <c r="AU48" s="18"/>
      <c r="AV48" s="61" t="s">
        <v>98</v>
      </c>
      <c r="AW48" s="216" t="str">
        <f>IF(AU32&lt;&gt;"Yes","***",tempconv(dewpoint(AH36,AN36,AJ37,AN37,AY46,AU33,AU34,AU35,AU36,AU37,AU38,AU39,AU40,AU41,AU42,AW33,AW34,AW35,AW36,AW37,AW38,AW39,AW40,AW41,AW42,AW32,2),"℃",AY48))</f>
        <v>***</v>
      </c>
      <c r="AX48" s="216"/>
      <c r="AY48" s="61" t="str">
        <f>AY47</f>
        <v>℃</v>
      </c>
      <c r="AZ48" s="96"/>
    </row>
    <row r="49" spans="1:42" ht="11.25" customHeight="1">
      <c r="A49" s="36"/>
      <c r="B49" s="36"/>
      <c r="C49" s="36"/>
      <c r="D49" s="15" t="str">
        <f>AE54</f>
        <v>Specific Volume</v>
      </c>
      <c r="E49" s="15"/>
      <c r="F49" s="15"/>
      <c r="G49" s="15"/>
      <c r="H49" s="15"/>
      <c r="I49" s="15"/>
      <c r="J49" s="91"/>
      <c r="K49" s="229">
        <f>AH54</f>
        <v>0.8580771857586668</v>
      </c>
      <c r="L49" s="229"/>
      <c r="M49" s="229"/>
      <c r="N49" s="91"/>
      <c r="O49" s="229">
        <f>AH92</f>
        <v>0.78965167890958</v>
      </c>
      <c r="P49" s="229"/>
      <c r="Q49" s="229"/>
      <c r="R49" s="91"/>
      <c r="S49" s="229">
        <f>O92</f>
        <v>0.8404452394389167</v>
      </c>
      <c r="T49" s="229"/>
      <c r="U49" s="229"/>
      <c r="V49" s="15" t="str">
        <f>AN54</f>
        <v>m3/kg.dry gas</v>
      </c>
      <c r="W49" s="15"/>
      <c r="X49" s="15"/>
      <c r="Y49" s="37"/>
      <c r="Z49" s="37"/>
      <c r="AA49" s="37"/>
      <c r="AB49" s="37"/>
      <c r="AC49" s="37"/>
      <c r="AE49" s="244" t="s">
        <v>154</v>
      </c>
      <c r="AF49" s="244"/>
      <c r="AG49" s="244"/>
      <c r="AH49" s="244"/>
      <c r="AI49" s="244"/>
      <c r="AJ49" s="244"/>
      <c r="AK49" s="244"/>
      <c r="AL49" s="244"/>
      <c r="AM49" s="244"/>
      <c r="AN49" s="9"/>
      <c r="AO49" s="9"/>
      <c r="AP49" s="128" t="s">
        <v>118</v>
      </c>
    </row>
    <row r="50" spans="1:52" ht="11.25" customHeight="1">
      <c r="A50" s="36"/>
      <c r="B50" s="36"/>
      <c r="C50" s="9"/>
      <c r="D50" s="15" t="s">
        <v>163</v>
      </c>
      <c r="E50" s="15"/>
      <c r="F50" s="15"/>
      <c r="G50" s="15"/>
      <c r="H50" s="15"/>
      <c r="I50" s="15"/>
      <c r="J50" s="91" t="str">
        <f>D13</f>
        <v>ma1</v>
      </c>
      <c r="K50" s="237">
        <f>K48/K49</f>
        <v>29134.908158519927</v>
      </c>
      <c r="L50" s="237"/>
      <c r="M50" s="237"/>
      <c r="N50" s="91" t="str">
        <f>G20</f>
        <v>ma2</v>
      </c>
      <c r="O50" s="237">
        <f>O48/O49</f>
        <v>10131.049187468452</v>
      </c>
      <c r="P50" s="196"/>
      <c r="Q50" s="196"/>
      <c r="R50" s="91" t="str">
        <f>K13</f>
        <v>ma3</v>
      </c>
      <c r="S50" s="237">
        <f>S48/S49</f>
        <v>39265.957345988376</v>
      </c>
      <c r="T50" s="196"/>
      <c r="U50" s="196"/>
      <c r="V50" s="15" t="str">
        <f>AN55</f>
        <v>kg.dry gas/h</v>
      </c>
      <c r="W50" s="74"/>
      <c r="X50" s="74"/>
      <c r="Y50" s="37"/>
      <c r="Z50" s="37"/>
      <c r="AA50" s="37"/>
      <c r="AB50" s="37"/>
      <c r="AC50" s="276">
        <f>K50+O50</f>
        <v>39265.95734598838</v>
      </c>
      <c r="AD50" s="277"/>
      <c r="AE50" s="104" t="s">
        <v>223</v>
      </c>
      <c r="AF50" s="13"/>
      <c r="AG50" s="13"/>
      <c r="AH50" s="233">
        <f>gmprop(AH36,AN36,AJ37,AN37,AP33,AP34,AP35,AP36,AP37,AP38,AP39,AP40,AP41,AP42,AR33,AR34,AR35,AR36,AR37,AR38,AR39,AR40,AR41,AR42,AQ32,-3)</f>
        <v>50.000000000000014</v>
      </c>
      <c r="AI50" s="233"/>
      <c r="AJ50" s="233"/>
      <c r="AK50" s="234"/>
      <c r="AL50" s="233"/>
      <c r="AM50" s="233"/>
      <c r="AN50" s="9" t="s">
        <v>226</v>
      </c>
      <c r="AP50" s="13" t="s">
        <v>202</v>
      </c>
      <c r="AQ50" s="13"/>
      <c r="AR50" s="185">
        <f>IF(AP32&lt;&gt;"Yes","***",gmcond(AH36,AN36,AJ37,AN37,AP33,AP34,AP35,AP36,AP37,AP38,AP39,AP40,AP41,AP42,AQ33,AQ34,AQ35,AQ36,AQ37,AQ38,AQ39,AQ40,AQ41,AQ42,AQ32,-113))</f>
        <v>0</v>
      </c>
      <c r="AS50" s="186">
        <f>IF(AP32&lt;&gt;"Yes","***",gmcond(AK36,AN36,AM38,AN37,AP33,AP34,AP35,AP36,AP37,AP38,AP39,AP40,AP41,AP42,AQ33,AQ34,AQ35,AQ36,AQ37,AQ38,AQ39,AQ40,AQ41,AQ42,AQ32,-113))</f>
        <v>0</v>
      </c>
      <c r="AT50" s="9"/>
      <c r="AU50" s="9"/>
      <c r="AV50" s="9"/>
      <c r="AW50" s="220" t="s">
        <v>102</v>
      </c>
      <c r="AX50" s="220"/>
      <c r="AY50" s="9"/>
      <c r="AZ50" s="9"/>
    </row>
    <row r="51" spans="1:52" ht="11.25" customHeight="1">
      <c r="A51" s="36"/>
      <c r="B51" s="36"/>
      <c r="C51" s="36"/>
      <c r="D51" s="274" t="s">
        <v>162</v>
      </c>
      <c r="E51" s="274"/>
      <c r="F51" s="74"/>
      <c r="G51" s="74"/>
      <c r="H51" s="74"/>
      <c r="I51" s="74"/>
      <c r="J51" s="91" t="str">
        <f>D14</f>
        <v>h1</v>
      </c>
      <c r="K51" s="215">
        <f>AH56</f>
        <v>6.115519726772756</v>
      </c>
      <c r="L51" s="215"/>
      <c r="M51" s="215"/>
      <c r="N51" s="91" t="str">
        <f>G21</f>
        <v>h2</v>
      </c>
      <c r="O51" s="215">
        <f>AH94</f>
        <v>0.9670096297149577</v>
      </c>
      <c r="P51" s="215"/>
      <c r="Q51" s="215"/>
      <c r="R51" s="91" t="str">
        <f>K14</f>
        <v>h3</v>
      </c>
      <c r="S51" s="215">
        <f>O94</f>
        <v>4.787331182801628</v>
      </c>
      <c r="T51" s="215"/>
      <c r="U51" s="215"/>
      <c r="V51" s="74" t="str">
        <f>AN56</f>
        <v>kcal/kg.dry gas</v>
      </c>
      <c r="W51" s="74"/>
      <c r="X51" s="74"/>
      <c r="Y51" s="37"/>
      <c r="Z51" s="37"/>
      <c r="AA51" s="37"/>
      <c r="AB51" s="37"/>
      <c r="AC51" s="37"/>
      <c r="AE51" s="163" t="s">
        <v>155</v>
      </c>
      <c r="AF51" s="71"/>
      <c r="AG51" s="71"/>
      <c r="AH51" s="263">
        <f>gmprop(AH36,AN36,AJ37,AN37,AP33,AP34,AP35,AP36,AP37,AP38,AP39,AP40,AP41,AP42,AR33,AR34,AR35,AR36,AR37,AR38,AR39,AR40,AR41,AR42,AQ32,99)</f>
        <v>0.009786396577566463</v>
      </c>
      <c r="AI51" s="263"/>
      <c r="AJ51" s="264"/>
      <c r="AK51" s="265">
        <f>gmprop(AK36,AN36,AM38,AN37,AP33,AP34,AP35,AP36,AP37,AP38,AP39,AP40,AP41,AP42,AS33,AS34,AS35,AS36,AS37,AS38,AS39,AS40,AS41,AS42,AQ32,99)</f>
        <v>0.009786396577566463</v>
      </c>
      <c r="AL51" s="263"/>
      <c r="AM51" s="263"/>
      <c r="AN51" s="128" t="s">
        <v>158</v>
      </c>
      <c r="AP51" s="61" t="s">
        <v>99</v>
      </c>
      <c r="AQ51" s="61"/>
      <c r="AR51" s="98">
        <f>IF(AP32&lt;&gt;"Yes","***",AR50*AH32*IF(AK32="kg/h",1,IF(AK32="m3/h",1*AH41,IF(AK32="Nm3/h",1*AH42))))</f>
        <v>0</v>
      </c>
      <c r="AS51" s="98">
        <f>IF(AP32&lt;&gt;"Yes","***",AS50*AH32*IF(AK32="kg/h",1,IF(AK32="m3/h",1*AH41,IF(AK32="Nm3/h",1*AH42))))</f>
        <v>0</v>
      </c>
      <c r="AT51" s="1" t="s">
        <v>100</v>
      </c>
      <c r="AU51" s="115" t="s">
        <v>101</v>
      </c>
      <c r="AV51" s="99"/>
      <c r="AW51" s="217" t="s">
        <v>86</v>
      </c>
      <c r="AX51" s="217"/>
      <c r="AY51" s="18"/>
      <c r="AZ51" s="18"/>
    </row>
    <row r="52" spans="1:52" ht="11.25" customHeight="1">
      <c r="A52" s="36"/>
      <c r="B52" s="36"/>
      <c r="C52" s="36"/>
      <c r="D52" s="275"/>
      <c r="E52" s="275"/>
      <c r="F52" s="74"/>
      <c r="G52" s="74"/>
      <c r="H52" s="74"/>
      <c r="I52" s="74"/>
      <c r="J52" s="74"/>
      <c r="K52" s="215">
        <f>K51*4.1868</f>
        <v>25.604457992052172</v>
      </c>
      <c r="L52" s="215"/>
      <c r="M52" s="215"/>
      <c r="N52" s="74"/>
      <c r="O52" s="215">
        <f>O51*4.1868</f>
        <v>4.048675917690585</v>
      </c>
      <c r="P52" s="215"/>
      <c r="Q52" s="215"/>
      <c r="R52" s="74"/>
      <c r="S52" s="215">
        <f>S51*4.1868</f>
        <v>20.043598196153855</v>
      </c>
      <c r="T52" s="215"/>
      <c r="U52" s="215"/>
      <c r="V52" s="74" t="s">
        <v>227</v>
      </c>
      <c r="W52" s="74"/>
      <c r="X52" s="74"/>
      <c r="Y52" s="36"/>
      <c r="Z52" s="36"/>
      <c r="AA52" s="36"/>
      <c r="AB52" s="36"/>
      <c r="AC52" s="37"/>
      <c r="AE52" s="81" t="s">
        <v>156</v>
      </c>
      <c r="AF52" s="15"/>
      <c r="AG52" s="15"/>
      <c r="AH52" s="266">
        <f>gmprop(AH36,AN36,AJ37,AN37,AP33,AP34,AP35,AP36,AP37,AP38,AP39,AP40,AP41,AP42,AR33,AR34,AR35,AR36,AR37,AR38,AR39,AR40,AR41,AR42,AQ32,100)</f>
        <v>0.00988311667678787</v>
      </c>
      <c r="AI52" s="266"/>
      <c r="AJ52" s="267"/>
      <c r="AK52" s="268">
        <f>gmprop(AK36,AN36,AM38,AN37,AP33,AP34,AP35,AP36,AP37,AP38,AP39,AP40,AP41,AP42,AS33,AS34,AS35,AS36,AS37,AS38,AS39,AS40,AS41,AS42,AQ32,100)</f>
        <v>0.00988311667678787</v>
      </c>
      <c r="AL52" s="266"/>
      <c r="AM52" s="266"/>
      <c r="AN52" s="128" t="s">
        <v>159</v>
      </c>
      <c r="AS52" s="9"/>
      <c r="AU52" s="13" t="s">
        <v>103</v>
      </c>
      <c r="AV52" s="13"/>
      <c r="AW52" s="218">
        <v>25</v>
      </c>
      <c r="AX52" s="218"/>
      <c r="AY52" s="13" t="s">
        <v>82</v>
      </c>
      <c r="AZ52" s="13"/>
    </row>
    <row r="53" spans="1:52" ht="11.25" customHeight="1">
      <c r="A53" s="36"/>
      <c r="B53" s="36"/>
      <c r="C53" s="36"/>
      <c r="D53" s="47" t="str">
        <f>AE57</f>
        <v>Heat Capacity</v>
      </c>
      <c r="E53" s="47"/>
      <c r="F53" s="47"/>
      <c r="G53" s="47"/>
      <c r="H53" s="47"/>
      <c r="I53" s="47"/>
      <c r="J53" s="35"/>
      <c r="K53" s="269">
        <f>K50*K51</f>
        <v>178175.1055811411</v>
      </c>
      <c r="L53" s="269"/>
      <c r="M53" s="269"/>
      <c r="N53" s="47"/>
      <c r="O53" s="269">
        <f>O50*O51</f>
        <v>9796.822123397891</v>
      </c>
      <c r="P53" s="269"/>
      <c r="Q53" s="269"/>
      <c r="R53" s="47"/>
      <c r="S53" s="269">
        <f>S50*S51</f>
        <v>187979.1420250088</v>
      </c>
      <c r="T53" s="269"/>
      <c r="U53" s="269"/>
      <c r="V53" s="47" t="str">
        <f>AN57</f>
        <v>kcal/h</v>
      </c>
      <c r="W53" s="47"/>
      <c r="X53" s="47"/>
      <c r="Y53" s="37"/>
      <c r="Z53" s="37"/>
      <c r="AA53" s="37"/>
      <c r="AB53" s="37"/>
      <c r="AC53" s="278">
        <f>K53+O53</f>
        <v>187971.927704539</v>
      </c>
      <c r="AD53" s="278"/>
      <c r="AE53" s="81" t="s">
        <v>189</v>
      </c>
      <c r="AF53" s="15"/>
      <c r="AG53" s="15"/>
      <c r="AH53" s="229">
        <f>gmprop(AH36,AN36,AJ37,AN37,AP33,AP34,AP35,AP36,AP37,AP38,AP39,AP40,AP41,AP42,AR33,AR34,AR35,AR36,AR37,AR38,AR39,AR40,AR41,AR42,AQ32,102)</f>
        <v>1.1653963263407972</v>
      </c>
      <c r="AI53" s="229"/>
      <c r="AJ53" s="230"/>
      <c r="AK53" s="232">
        <f>gmprop(AK36,AN36,AM38,AN37,AP33,AP34,AP35,AP36,AP37,AP38,AP39,AP40,AP41,AP42,AS33,AS34,AS35,AS36,AS37,AS38,AS39,AS40,AS41,AS42,AQ32,102)</f>
        <v>1.1653963263407972</v>
      </c>
      <c r="AL53" s="229"/>
      <c r="AM53" s="229"/>
      <c r="AN53" s="128" t="s">
        <v>191</v>
      </c>
      <c r="AS53" s="9"/>
      <c r="AU53" s="15" t="s">
        <v>104</v>
      </c>
      <c r="AV53" s="15"/>
      <c r="AW53" s="219">
        <v>0</v>
      </c>
      <c r="AX53" s="219"/>
      <c r="AY53" s="15" t="s">
        <v>83</v>
      </c>
      <c r="AZ53" s="15"/>
    </row>
    <row r="54" spans="1:52" ht="11.2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7"/>
      <c r="W54" s="37"/>
      <c r="X54" s="37"/>
      <c r="Y54" s="37"/>
      <c r="Z54" s="37"/>
      <c r="AA54" s="37"/>
      <c r="AB54" s="37"/>
      <c r="AE54" s="81" t="s">
        <v>190</v>
      </c>
      <c r="AF54" s="15"/>
      <c r="AG54" s="15"/>
      <c r="AH54" s="229">
        <f>gmprop(AH36,AN36,AJ37,AN37,AP33,AP34,AP35,AP36,AP37,AP38,AP39,AP40,AP41,AP42,AR33,AR34,AR35,AR36,AR37,AR38,AR39,AR40,AR41,AR42,AQ32,101)</f>
        <v>0.8580771857586668</v>
      </c>
      <c r="AI54" s="229"/>
      <c r="AJ54" s="230"/>
      <c r="AK54" s="232">
        <f>gmprop(AK36,AN36,AM38,AN37,AP33,AP34,AP35,AP36,AP37,AP38,AP39,AP40,AP41,AP42,AS33,AS34,AS35,AS36,AS37,AS38,AS39,AS40,AS41,AS42,AQ32,101)</f>
        <v>0.8580771857586668</v>
      </c>
      <c r="AL54" s="229"/>
      <c r="AM54" s="229"/>
      <c r="AN54" s="128" t="s">
        <v>192</v>
      </c>
      <c r="AS54" s="9"/>
      <c r="AU54" s="15" t="s">
        <v>105</v>
      </c>
      <c r="AV54" s="15"/>
      <c r="AW54" s="219">
        <v>50</v>
      </c>
      <c r="AX54" s="219"/>
      <c r="AY54" s="15" t="s">
        <v>106</v>
      </c>
      <c r="AZ54" s="149" t="s">
        <v>195</v>
      </c>
    </row>
    <row r="55" spans="1:52" ht="11.25" customHeight="1">
      <c r="A55" s="36"/>
      <c r="B55" s="36"/>
      <c r="C55" s="36"/>
      <c r="D55" s="36" t="str">
        <f>"* Latent heat is not included in "&amp;D51&amp;" "&amp;J51&amp;", "&amp;N51&amp;" and "&amp;R51&amp;"."</f>
        <v>* Latent heat is not included in Enthalpy h1, h2 and h3.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7"/>
      <c r="W55" s="37"/>
      <c r="X55" s="37"/>
      <c r="Y55" s="37"/>
      <c r="Z55" s="37"/>
      <c r="AA55" s="37"/>
      <c r="AB55" s="37"/>
      <c r="AC55" s="37"/>
      <c r="AE55" s="81" t="s">
        <v>165</v>
      </c>
      <c r="AF55" s="15"/>
      <c r="AG55" s="15"/>
      <c r="AH55" s="235">
        <f>AH44/AH54</f>
        <v>29134.908158519927</v>
      </c>
      <c r="AI55" s="235"/>
      <c r="AJ55" s="236"/>
      <c r="AK55" s="243">
        <f>AK44/AK54</f>
        <v>29134.908158519927</v>
      </c>
      <c r="AL55" s="237"/>
      <c r="AM55" s="237"/>
      <c r="AN55" s="129" t="s">
        <v>161</v>
      </c>
      <c r="AS55" s="9"/>
      <c r="AU55" s="61" t="s">
        <v>107</v>
      </c>
      <c r="AV55" s="61"/>
      <c r="AW55" s="216">
        <f>maprop(AW52,AY52,AW54,AW53,AY53,0)</f>
        <v>13.863908273013408</v>
      </c>
      <c r="AX55" s="216"/>
      <c r="AY55" s="100" t="s">
        <v>108</v>
      </c>
      <c r="AZ55" s="101">
        <f>tempconv(rh_twb(AW52,AY52,AW54,0,AW53,AY53,0,1),"℃",AY55)</f>
        <v>17.887999999999995</v>
      </c>
    </row>
    <row r="56" spans="1:52" ht="11.2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E56" s="81" t="s">
        <v>157</v>
      </c>
      <c r="AF56" s="15"/>
      <c r="AG56" s="15"/>
      <c r="AH56" s="229">
        <f>gmprop(AH36,AN36,AJ37,AN37,AP33,AP34,AP35,AP36,AP37,AP38,AP39,AP40,AP41,AP42,AR33,AR34,AR35,AR36,AR37,AR38,AR39,AR40,AR41,AR42,AQ32,104)</f>
        <v>6.115519726772756</v>
      </c>
      <c r="AI56" s="229"/>
      <c r="AJ56" s="230"/>
      <c r="AK56" s="232">
        <f>gmprop(AK36,AN36,AM38,AN37,AP33,AP34,AP35,AP36,AP37,AP38,AP39,AP40,AP41,AP42,AS33,AS34,AS35,AS36,AS37,AS38,AS39,AS40,AS41,AS42,AQ32,104)</f>
        <v>6.115519726772756</v>
      </c>
      <c r="AL56" s="229"/>
      <c r="AM56" s="229"/>
      <c r="AN56" s="128" t="s">
        <v>160</v>
      </c>
      <c r="AS56" s="9"/>
      <c r="AU56" s="65" t="s">
        <v>109</v>
      </c>
      <c r="AV56" s="65"/>
      <c r="AW56" s="102" t="s">
        <v>110</v>
      </c>
      <c r="AX56" s="103" t="s">
        <v>111</v>
      </c>
      <c r="AY56" s="85"/>
      <c r="AZ56" s="111" t="s">
        <v>117</v>
      </c>
    </row>
    <row r="57" spans="1:52" ht="11.25" customHeight="1">
      <c r="A57" s="9"/>
      <c r="B57" s="9"/>
      <c r="C57" s="9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9"/>
      <c r="AC57" s="36"/>
      <c r="AE57" s="107" t="str">
        <f>AE48</f>
        <v>Heat Capacity</v>
      </c>
      <c r="AF57" s="61"/>
      <c r="AG57" s="61"/>
      <c r="AH57" s="257">
        <f>AH55*AH56</f>
        <v>178175.1055811411</v>
      </c>
      <c r="AI57" s="257"/>
      <c r="AJ57" s="257"/>
      <c r="AK57" s="279">
        <f>AK55*AK56</f>
        <v>178175.1055811411</v>
      </c>
      <c r="AL57" s="257"/>
      <c r="AM57" s="257"/>
      <c r="AN57" s="9" t="str">
        <f>AN48</f>
        <v>kcal/h</v>
      </c>
      <c r="AS57" s="9"/>
      <c r="AU57" s="104" t="s">
        <v>112</v>
      </c>
      <c r="AV57" s="13"/>
      <c r="AW57" s="69">
        <f>((fprop("Saturated","H2O L.P.",AW52,AY52,0,"","Yes",0,1,10)+1.033227)*AW54/100)/(pressconv(AW53,AY53,"kg/cm2.g")+1.033227)*100</f>
        <v>1.5641491458463115</v>
      </c>
      <c r="AX57" s="69">
        <f>gmconv(AU57,AU58,AU59,AU60,AU61,"","","","","",AW57,AW58,AW59,AW60,AW61,"","","","","",AW56,15)</f>
        <v>0.9786396577566464</v>
      </c>
      <c r="AY57" s="105"/>
      <c r="AZ57" s="112">
        <v>0</v>
      </c>
    </row>
    <row r="58" spans="1:52" ht="11.2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S58" s="9"/>
      <c r="AU58" s="81" t="s">
        <v>113</v>
      </c>
      <c r="AV58" s="15"/>
      <c r="AW58" s="75">
        <f>(100-AW57)*AZ58/AZ62</f>
        <v>76.86495572962926</v>
      </c>
      <c r="AX58" s="75">
        <f>gmconv(AU57,AU58,AU59,AU60,AU61,"","","","","",AW57,AW58,AW59,AW60,AW61,"","","","","",AW56,25)</f>
        <v>74.78246304438657</v>
      </c>
      <c r="AY58" s="106"/>
      <c r="AZ58" s="60">
        <v>78.084</v>
      </c>
    </row>
    <row r="59" spans="1:52" ht="11.2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N59" s="9"/>
      <c r="AS59" s="9"/>
      <c r="AU59" s="81" t="s">
        <v>114</v>
      </c>
      <c r="AV59" s="15"/>
      <c r="AW59" s="75">
        <f>(100-AW57)*AZ59/AZ62</f>
        <v>20.620566910532016</v>
      </c>
      <c r="AX59" s="75">
        <f>gmconv(AU57,AU58,AU59,AU60,AU61,"","","","","",AW57,AW58,AW59,AW60,AW61,"","","","","",AW56,35)</f>
        <v>22.916054899282173</v>
      </c>
      <c r="AY59" s="106"/>
      <c r="AZ59" s="60">
        <v>20.9476</v>
      </c>
    </row>
    <row r="60" spans="1:52" ht="11.2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N60" s="9"/>
      <c r="AS60" s="9"/>
      <c r="AU60" s="81" t="s">
        <v>115</v>
      </c>
      <c r="AV60" s="15"/>
      <c r="AW60" s="75">
        <f>(100-AW57)*AZ60/AZ62</f>
        <v>0.9194184295306814</v>
      </c>
      <c r="AX60" s="75">
        <f>gmconv(AU57,AU58,AU59,AU60,AU61,"","","","","",AW57,AW58,AW59,AW60,AW61,"","","","","",AW56,45)</f>
        <v>1.2755979338640957</v>
      </c>
      <c r="AY60" s="106"/>
      <c r="AZ60" s="60">
        <v>0.934</v>
      </c>
    </row>
    <row r="61" spans="1:52" ht="11.2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E61" s="9"/>
      <c r="AN61" s="9"/>
      <c r="AS61" s="9"/>
      <c r="AU61" s="107" t="s">
        <v>116</v>
      </c>
      <c r="AV61" s="61"/>
      <c r="AW61" s="82">
        <f>(100-AW57)*AZ61/AZ62</f>
        <v>0.030909784461738105</v>
      </c>
      <c r="AX61" s="82">
        <f>gmconv(AU57,AU58,AU59,AU60,AU61,"","","","","",AW57,AW58,AW59,AW60,AW61,"","","","","",AW56,55)</f>
        <v>0.04724446471051669</v>
      </c>
      <c r="AY61" s="108"/>
      <c r="AZ61" s="113">
        <v>0.0314</v>
      </c>
    </row>
    <row r="62" spans="1:52" ht="11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36"/>
      <c r="AD62" s="9"/>
      <c r="AE62" s="9"/>
      <c r="AN62" s="9"/>
      <c r="AS62" s="9"/>
      <c r="AU62" s="65" t="s">
        <v>90</v>
      </c>
      <c r="AV62" s="65"/>
      <c r="AW62" s="86">
        <f>SUM(AW57:AW61)</f>
        <v>100.00000000000001</v>
      </c>
      <c r="AX62" s="109">
        <f>SUM(AX57:AX61)</f>
        <v>100</v>
      </c>
      <c r="AY62" s="110"/>
      <c r="AZ62" s="111">
        <f>SUM(AZ57:AZ61)</f>
        <v>99.997</v>
      </c>
    </row>
    <row r="63" spans="1:30" ht="11.25" customHeight="1">
      <c r="A63" s="9" t="str">
        <f>cosymbol</f>
        <v> NTES</v>
      </c>
      <c r="AB63" s="41" t="str">
        <f>coname</f>
        <v>Narai Thermal engineering Services </v>
      </c>
      <c r="AC63" s="9"/>
      <c r="AD63" s="9"/>
    </row>
    <row r="64" ht="11.25" customHeight="1"/>
    <row r="65" ht="11.25"/>
    <row r="66" ht="11.25"/>
    <row r="67" spans="12:52" ht="11.25">
      <c r="L67" s="13" t="s">
        <v>130</v>
      </c>
      <c r="M67" s="13"/>
      <c r="N67" s="13"/>
      <c r="O67" s="288" t="s">
        <v>194</v>
      </c>
      <c r="P67" s="288"/>
      <c r="Q67" s="288"/>
      <c r="R67" s="288"/>
      <c r="S67" s="288"/>
      <c r="T67" s="288"/>
      <c r="W67" s="255" t="s">
        <v>119</v>
      </c>
      <c r="X67" s="255"/>
      <c r="Y67" s="255"/>
      <c r="Z67" s="255"/>
      <c r="AA67" s="9"/>
      <c r="AE67" s="13" t="s">
        <v>130</v>
      </c>
      <c r="AF67" s="13"/>
      <c r="AG67" s="13"/>
      <c r="AH67" s="288" t="s">
        <v>218</v>
      </c>
      <c r="AI67" s="288"/>
      <c r="AJ67" s="288"/>
      <c r="AK67" s="288"/>
      <c r="AL67" s="288"/>
      <c r="AM67" s="288"/>
      <c r="AP67" s="255" t="s">
        <v>119</v>
      </c>
      <c r="AQ67" s="255"/>
      <c r="AR67" s="255"/>
      <c r="AS67" s="255"/>
      <c r="AT67" s="9"/>
      <c r="AU67" s="9"/>
      <c r="AV67" s="114"/>
      <c r="AW67" s="114"/>
      <c r="AX67" s="114"/>
      <c r="AY67" s="114"/>
      <c r="AZ67" s="114"/>
    </row>
    <row r="68" spans="12:52" ht="11.25">
      <c r="L68" s="15" t="s">
        <v>131</v>
      </c>
      <c r="M68" s="15"/>
      <c r="N68" s="15"/>
      <c r="O68" s="289" t="s">
        <v>70</v>
      </c>
      <c r="P68" s="289"/>
      <c r="Q68" s="289"/>
      <c r="R68" s="289"/>
      <c r="S68" s="289"/>
      <c r="T68" s="289"/>
      <c r="W68" s="255">
        <f>IF(O68&lt;&gt;"Gas Mixture","***",IF(AD89&lt;&gt;"Yes",AB68,AB89))</f>
        <v>0</v>
      </c>
      <c r="X68" s="255"/>
      <c r="Y68" s="255"/>
      <c r="Z68" s="255"/>
      <c r="AA68" s="9"/>
      <c r="AE68" s="15" t="s">
        <v>131</v>
      </c>
      <c r="AF68" s="15"/>
      <c r="AG68" s="15"/>
      <c r="AH68" s="289" t="s">
        <v>70</v>
      </c>
      <c r="AI68" s="289"/>
      <c r="AJ68" s="289"/>
      <c r="AK68" s="289"/>
      <c r="AL68" s="289"/>
      <c r="AM68" s="289"/>
      <c r="AP68" s="255" t="str">
        <f>IF(AH68&lt;&gt;"Gas Mixture","***",IF(AW89&lt;&gt;"Yes",AU68,AU89))</f>
        <v>Moist Air</v>
      </c>
      <c r="AQ68" s="255"/>
      <c r="AR68" s="255"/>
      <c r="AS68" s="255"/>
      <c r="AT68" s="9"/>
      <c r="AU68" s="115" t="s">
        <v>71</v>
      </c>
      <c r="AV68" s="18"/>
      <c r="AW68" s="18"/>
      <c r="AX68" s="18"/>
      <c r="AY68" s="18"/>
      <c r="AZ68" s="18"/>
    </row>
    <row r="69" spans="12:52" ht="11.25">
      <c r="L69" s="15"/>
      <c r="M69" s="15"/>
      <c r="N69" s="15"/>
      <c r="O69" s="250" t="s">
        <v>72</v>
      </c>
      <c r="P69" s="250"/>
      <c r="Q69" s="253"/>
      <c r="R69" s="254" t="s">
        <v>73</v>
      </c>
      <c r="S69" s="250"/>
      <c r="T69" s="250"/>
      <c r="W69" s="117"/>
      <c r="X69" s="118" t="s">
        <v>74</v>
      </c>
      <c r="Y69" s="119" t="str">
        <f>O69</f>
        <v>Inlet</v>
      </c>
      <c r="Z69" s="119" t="str">
        <f>R69</f>
        <v>Outlet</v>
      </c>
      <c r="AA69" s="39"/>
      <c r="AE69" s="15"/>
      <c r="AF69" s="15"/>
      <c r="AG69" s="15"/>
      <c r="AH69" s="250" t="s">
        <v>72</v>
      </c>
      <c r="AI69" s="250"/>
      <c r="AJ69" s="253"/>
      <c r="AK69" s="254" t="s">
        <v>73</v>
      </c>
      <c r="AL69" s="250"/>
      <c r="AM69" s="250"/>
      <c r="AP69" s="117"/>
      <c r="AQ69" s="118" t="s">
        <v>74</v>
      </c>
      <c r="AR69" s="119" t="str">
        <f>AH69</f>
        <v>Inlet</v>
      </c>
      <c r="AS69" s="119" t="str">
        <f>AK69</f>
        <v>Outlet</v>
      </c>
      <c r="AT69" s="39"/>
      <c r="AU69" s="250" t="str">
        <f>AR69</f>
        <v>Inlet</v>
      </c>
      <c r="AV69" s="250"/>
      <c r="AW69" s="250"/>
      <c r="AX69" s="250"/>
      <c r="AY69" s="250"/>
      <c r="AZ69" s="250"/>
    </row>
    <row r="70" spans="12:52" ht="11.25">
      <c r="L70" s="74" t="s">
        <v>132</v>
      </c>
      <c r="M70" s="74"/>
      <c r="N70" s="15"/>
      <c r="O70" s="284">
        <f>IF(R70="m3/h",O82,IF(R70="kg/h",O81,IF(R70="Nm3/h",O81/O80)))</f>
        <v>33000.88692344749</v>
      </c>
      <c r="P70" s="284"/>
      <c r="Q70" s="284"/>
      <c r="R70" s="136" t="str">
        <f>AK32</f>
        <v>m3/h</v>
      </c>
      <c r="S70" s="13"/>
      <c r="T70" s="13"/>
      <c r="W70" s="63" t="str">
        <f>IF(O68&lt;&gt;"Gas Mixture","- N/A -","Yes")</f>
        <v>Yes</v>
      </c>
      <c r="X70" s="287" t="str">
        <f>AQ32</f>
        <v>volume%</v>
      </c>
      <c r="Y70" s="287"/>
      <c r="Z70" s="287"/>
      <c r="AA70" s="9"/>
      <c r="AE70" s="74" t="s">
        <v>132</v>
      </c>
      <c r="AF70" s="74"/>
      <c r="AG70" s="15"/>
      <c r="AH70" s="249">
        <v>8000</v>
      </c>
      <c r="AI70" s="249"/>
      <c r="AJ70" s="249"/>
      <c r="AK70" s="136" t="str">
        <f>AK32</f>
        <v>m3/h</v>
      </c>
      <c r="AL70" s="13"/>
      <c r="AM70" s="13"/>
      <c r="AP70" s="63" t="str">
        <f>IF(AH68&lt;&gt;"Gas Mixture","- N/A -","Yes")</f>
        <v>Yes</v>
      </c>
      <c r="AQ70" s="287" t="str">
        <f>AQ32</f>
        <v>volume%</v>
      </c>
      <c r="AR70" s="287"/>
      <c r="AS70" s="287"/>
      <c r="AT70" s="9"/>
      <c r="AU70" s="64" t="str">
        <f>IF(AP70&lt;&gt;"Yes","- N/A -",IF(AW89="Yes","- N/A -","Yes"))</f>
        <v>- N/A -</v>
      </c>
      <c r="AV70" s="65"/>
      <c r="AW70" s="291" t="s">
        <v>75</v>
      </c>
      <c r="AX70" s="291"/>
      <c r="AY70" s="66" t="s">
        <v>87</v>
      </c>
      <c r="AZ70" s="67" t="s">
        <v>88</v>
      </c>
    </row>
    <row r="71" spans="12:52" ht="11.25">
      <c r="L71" s="15"/>
      <c r="M71" s="15" t="s">
        <v>120</v>
      </c>
      <c r="N71" s="15"/>
      <c r="O71" s="246">
        <f>O70</f>
        <v>33000.88692344749</v>
      </c>
      <c r="P71" s="246"/>
      <c r="Q71" s="247"/>
      <c r="R71" s="256">
        <f>O70</f>
        <v>33000.88692344749</v>
      </c>
      <c r="S71" s="246"/>
      <c r="T71" s="246"/>
      <c r="U71" s="9"/>
      <c r="W71" s="68" t="str">
        <f>IF(W70&lt;&gt;"Yes","***",AP33)</f>
        <v>H2O</v>
      </c>
      <c r="X71" s="139">
        <f>IF(W70&lt;&gt;"Yes","***",(AH43/IF(X70="weight%",1,AH42)*AQ33/100+AH81/IF(X70="weight%",1,AH80)*AQ71/100)/(AH43/IF(X70="weight%",1,AH42)+AH81/IF(X70="weight%",1,AH80))*100)</f>
        <v>1.3091644067367012</v>
      </c>
      <c r="Y71" s="142">
        <f>IF(W70&lt;&gt;"Yes","***",gmconv(W71,W72,W73,W74,W75,W76,W77,W78,W79,W80,X71,X72,X73,X74,X75,X76,X77,X78,X79,X80,X70,IF(X70="volume%",14,15)))</f>
        <v>1.3091644067367012</v>
      </c>
      <c r="Z71" s="142">
        <f>IF(W70&lt;&gt;"Yes","***",gmconv(W71,W72,W73,W74,W75,W76,W77,W78,W79,W80,X71,X72,X73,X74,X75,X76,X77,X78,X79,X80,X70,IF(X70="volume%",14,15)))</f>
        <v>1.3091644067367012</v>
      </c>
      <c r="AA71" s="9"/>
      <c r="AE71" s="15"/>
      <c r="AF71" s="15" t="s">
        <v>120</v>
      </c>
      <c r="AG71" s="15"/>
      <c r="AH71" s="246">
        <f>AH70</f>
        <v>8000</v>
      </c>
      <c r="AI71" s="246"/>
      <c r="AJ71" s="247"/>
      <c r="AK71" s="256">
        <f>AH70</f>
        <v>8000</v>
      </c>
      <c r="AL71" s="246"/>
      <c r="AM71" s="246"/>
      <c r="AN71" s="9"/>
      <c r="AP71" s="68" t="str">
        <f>IF(AP70&lt;&gt;"Yes","***",IF(AW89&lt;&gt;"Yes",AU71,AU95))</f>
        <v>H2O</v>
      </c>
      <c r="AQ71" s="69">
        <f>IF(AP70&lt;&gt;"Yes","***",IF(AW89&lt;&gt;"Yes",IF(AQ70=AY70,AY71,AZ71),IF(AQ70=AW94,AW95,AX95)))</f>
        <v>0.5684611067594619</v>
      </c>
      <c r="AR71" s="70">
        <f>IF(AP70&lt;&gt;"Yes","***",gmconv(AP71,AP72,AP73,AP74,AP75,AP76,AP77,AP78,AP79,AP80,AQ71,AQ72,AQ73,AQ74,AQ75,AQ76,AQ77,AQ78,AQ79,AQ80,AQ70,IF(AQ70="volume%",14,15)))</f>
        <v>0.5684611067594619</v>
      </c>
      <c r="AS71" s="70">
        <f>IF(AP70&lt;&gt;"Yes","***",gmconv(AP71,AP72,AP73,AP74,AP75,AP76,AP77,AP78,AP79,AP80,AQ71,AQ72,AQ73,AQ74,AQ75,AQ76,AQ77,AQ78,AQ79,AQ80,AQ70,IF(AQ70="volume%",14,15)))</f>
        <v>0.5684611067594619</v>
      </c>
      <c r="AT71" s="9"/>
      <c r="AU71" s="132" t="str">
        <f aca="true" t="shared" si="0" ref="AU71:AU80">AU33</f>
        <v>H2O</v>
      </c>
      <c r="AV71" s="71"/>
      <c r="AW71" s="248">
        <v>3.85</v>
      </c>
      <c r="AX71" s="248"/>
      <c r="AY71" s="72" t="str">
        <f>IF(AU70&lt;&gt;"Yes","***",IF(OR(AU71="",AW71="",AW71&lt;=0),0,gmconv(AU71,AU72,AU73,AU74,AU75,AU76,AU77,AU78,AU79,AU80,AW71,AW72,AW73,AW74,AW75,AW76,AW77,AW78,AW79,AW80,AW70,14)))</f>
        <v>***</v>
      </c>
      <c r="AZ71" s="73" t="str">
        <f>IF(AU70&lt;&gt;"Yes","***",IF(OR(AU71="",AW71="",AW71&lt;=0),0,gmconv(AU71,AU72,AU73,AU74,AU75,AU76,AU77,AU78,AU79,AU80,AW71,AW72,AW73,AW74,AW75,AW76,AW77,AW78,AW79,AW80,AW70,15)))</f>
        <v>***</v>
      </c>
    </row>
    <row r="72" spans="12:52" ht="11.25">
      <c r="L72" s="74"/>
      <c r="M72" s="74" t="s">
        <v>121</v>
      </c>
      <c r="N72" s="15"/>
      <c r="O72" s="246">
        <f>O70-O71</f>
        <v>0</v>
      </c>
      <c r="P72" s="246"/>
      <c r="Q72" s="247"/>
      <c r="R72" s="256">
        <f>O70-R71</f>
        <v>0</v>
      </c>
      <c r="S72" s="246"/>
      <c r="T72" s="246"/>
      <c r="U72" s="9"/>
      <c r="V72" s="9"/>
      <c r="W72" s="74" t="str">
        <f>IF(W70&lt;&gt;"Yes","***",AP34)</f>
        <v>N2</v>
      </c>
      <c r="X72" s="140">
        <f>IF(W70&lt;&gt;"Yes","***",(AH43/IF(X70="weight%",1,AH42)*AQ34/100+AH81/IF(X70="weight%",1,AH80)*AQ72/100)/(AH43/IF(X70="weight%",1,AH42)+AH81/IF(X70="weight%",1,AH80))*100)</f>
        <v>77.06406398656333</v>
      </c>
      <c r="Y72" s="143">
        <f>IF(W70&lt;&gt;"Yes","***",gmconv(W71,W72,W73,W74,W75,W76,W77,W78,W79,W80,X71,X72,X73,X74,X75,X76,X77,X78,X79,X80,X70,IF(X70="volume%",24,25)))</f>
        <v>77.06406398656333</v>
      </c>
      <c r="Z72" s="143">
        <f>IF(W70&lt;&gt;"Yes","***",gmconv(W71,W72,W73,W74,W75,W76,W77,W78,W79,W80,X71,X72,X73,X74,X75,X76,X77,X78,X79,X80,X70,IF(X70="volume%",24,25)))</f>
        <v>77.06406398656333</v>
      </c>
      <c r="AA72" s="9"/>
      <c r="AE72" s="74"/>
      <c r="AF72" s="74" t="s">
        <v>121</v>
      </c>
      <c r="AG72" s="15"/>
      <c r="AH72" s="246">
        <f>AH70-AH71</f>
        <v>0</v>
      </c>
      <c r="AI72" s="246"/>
      <c r="AJ72" s="247"/>
      <c r="AK72" s="256">
        <f>AH70-AK71</f>
        <v>0</v>
      </c>
      <c r="AL72" s="246"/>
      <c r="AM72" s="246"/>
      <c r="AN72" s="9"/>
      <c r="AO72" s="9"/>
      <c r="AP72" s="74" t="str">
        <f>IF(AP70&lt;&gt;"Yes","***",IF(AW89&lt;&gt;"Yes",AU72,AU96))</f>
        <v>N2</v>
      </c>
      <c r="AQ72" s="75">
        <f>IF(AP70&lt;&gt;"Yes","***",IF(AW89&lt;&gt;"Yes",IF(AQ70=AY70,AY72,AZ72),IF(AQ70=AW94,AW96,AX96)))</f>
        <v>77.64245210296104</v>
      </c>
      <c r="AR72" s="76">
        <f>IF(AP70&lt;&gt;"Yes","***",gmconv(AP71,AP72,AP73,AP74,AP75,AP76,AP77,AP78,AP79,AP80,AQ71,AQ72,AQ73,AQ74,AQ75,AQ76,AQ77,AQ78,AQ79,AQ80,AQ70,IF(AQ70="volume%",24,25)))</f>
        <v>77.64245210296104</v>
      </c>
      <c r="AS72" s="76">
        <f>IF(AP70&lt;&gt;"Yes","***",gmconv(AP71,AP72,AP73,AP74,AP75,AP76,AP77,AP78,AP79,AP80,AQ71,AQ72,AQ73,AQ74,AQ75,AQ76,AQ77,AQ78,AQ79,AQ80,AQ70,IF(AQ70="volume%",24,25)))</f>
        <v>77.64245210296104</v>
      </c>
      <c r="AT72" s="9"/>
      <c r="AU72" s="133" t="str">
        <f t="shared" si="0"/>
        <v>CO2</v>
      </c>
      <c r="AV72" s="15"/>
      <c r="AW72" s="227">
        <v>0</v>
      </c>
      <c r="AX72" s="227"/>
      <c r="AY72" s="77" t="str">
        <f>IF(AU70&lt;&gt;"Yes","***",IF(OR(AU72="",AW72="",AW72&lt;=0),0,gmconv(AU71,AU72,AU73,AU74,AU75,AU76,AU77,AU78,AU79,AU80,AW71,AW72,AW73,AW74,AW75,AW76,AW77,AW78,AW79,AW80,AW70,24)))</f>
        <v>***</v>
      </c>
      <c r="AZ72" s="75" t="str">
        <f>IF(AU70&lt;&gt;"Yes","***",IF(OR(AU72="",AW72="",AW72&lt;=0),0,gmconv(AU71,AU72,AU73,AU74,AU75,AU76,AU77,AU78,AU79,AU80,AW71,AW72,AW73,AW74,AW75,AW76,AW77,AW78,AW79,AW80,AW70,25)))</f>
        <v>***</v>
      </c>
    </row>
    <row r="73" spans="8:52" ht="11.25">
      <c r="H73" s="127" t="str">
        <f>L86</f>
        <v>Heat Capacity</v>
      </c>
      <c r="L73" s="15"/>
      <c r="M73" s="122" t="s">
        <v>139</v>
      </c>
      <c r="N73" s="15"/>
      <c r="O73" s="246">
        <f>Y89</f>
        <v>0</v>
      </c>
      <c r="P73" s="246"/>
      <c r="Q73" s="247"/>
      <c r="R73" s="241">
        <f>Z89</f>
        <v>0</v>
      </c>
      <c r="S73" s="242"/>
      <c r="T73" s="242"/>
      <c r="U73" s="9" t="s">
        <v>85</v>
      </c>
      <c r="V73" s="9"/>
      <c r="W73" s="74" t="str">
        <f>IF(W70&lt;&gt;"Yes","***",AP35)</f>
        <v>O2</v>
      </c>
      <c r="X73" s="140">
        <f>IF(W70&lt;&gt;"Yes","***",(AH43/IF(X70="weight%",1,AH42)*AQ35/100+AH81/IF(X70="weight%",1,AH80)*AQ73/100)/(AH43/IF(X70="weight%",1,AH42)+AH81/IF(X70="weight%",1,AH80))*100)</f>
        <v>20.673981696185308</v>
      </c>
      <c r="Y73" s="143">
        <f>IF(W70&lt;&gt;"Yes","***",gmconv(W71,W72,W73,W74,W75,W76,W77,W78,W79,W80,X71,X72,X73,X74,X75,X76,X77,X78,X79,X80,X70,IF(X70="volume%",34,35)))</f>
        <v>20.673981696185308</v>
      </c>
      <c r="Z73" s="143">
        <f>IF(W70&lt;&gt;"Yes","***",gmconv(W71,W72,W73,W74,W75,W76,W77,W78,W79,W80,X71,X72,X73,X74,X75,X76,X77,X78,X79,X80,X70,IF(X70="volume%",34,35)))</f>
        <v>20.673981696185308</v>
      </c>
      <c r="AA73" s="9"/>
      <c r="AE73" s="15"/>
      <c r="AF73" s="122" t="s">
        <v>139</v>
      </c>
      <c r="AG73" s="15"/>
      <c r="AH73" s="246">
        <f>AR89</f>
        <v>0</v>
      </c>
      <c r="AI73" s="246"/>
      <c r="AJ73" s="247"/>
      <c r="AK73" s="241">
        <f>AS89</f>
        <v>0</v>
      </c>
      <c r="AL73" s="242"/>
      <c r="AM73" s="242"/>
      <c r="AN73" s="9" t="s">
        <v>85</v>
      </c>
      <c r="AO73" s="9"/>
      <c r="AP73" s="74" t="str">
        <f>IF(AP70&lt;&gt;"Yes","***",IF(AW89&lt;&gt;"Yes",AU73,AU97))</f>
        <v>O2</v>
      </c>
      <c r="AQ73" s="75">
        <f>IF(AP70&lt;&gt;"Yes","***",IF(AW89&lt;&gt;"Yes",IF(AQ70=AY70,AY73,AZ73),IF(AQ70=AW94,AW97,AX97)))</f>
        <v>20.829145915577925</v>
      </c>
      <c r="AR73" s="76">
        <f>IF(AP70&lt;&gt;"Yes","***",gmconv(AP71,AP72,AP73,AP74,AP75,AP76,AP77,AP78,AP79,AP80,AQ71,AQ72,AQ73,AQ74,AQ75,AQ76,AQ77,AQ78,AQ79,AQ80,AQ70,IF(AQ70="volume%",34,35)))</f>
        <v>20.829145915577925</v>
      </c>
      <c r="AS73" s="76">
        <f>IF(AP70&lt;&gt;"Yes","***",gmconv(AP71,AP72,AP73,AP74,AP75,AP76,AP77,AP78,AP79,AP80,AQ71,AQ72,AQ73,AQ74,AQ75,AQ76,AQ77,AQ78,AQ79,AQ80,AQ70,IF(AQ70="volume%",34,35)))</f>
        <v>20.829145915577925</v>
      </c>
      <c r="AT73" s="9"/>
      <c r="AU73" s="133" t="str">
        <f t="shared" si="0"/>
        <v>N2</v>
      </c>
      <c r="AV73" s="15"/>
      <c r="AW73" s="227">
        <v>76</v>
      </c>
      <c r="AX73" s="227"/>
      <c r="AY73" s="77" t="str">
        <f>IF(AU70&lt;&gt;"Yes","***",IF(OR(AU73="",AW73="",AW73&lt;=0),0,gmconv(AU71,AU72,AU73,AU74,AU75,AU76,AU77,AU78,AU79,AU80,AW71,AW72,AW73,AW74,AW75,AW76,AW77,AW78,AW79,AW80,AW70,34)))</f>
        <v>***</v>
      </c>
      <c r="AZ73" s="75" t="str">
        <f>IF(AU70&lt;&gt;"Yes","***",IF(OR(AU73="",AW73="",AW73&lt;=0),0,gmconv(AU71,AU72,AU73,AU74,AU75,AU76,AU77,AU78,AU79,AU80,AW71,AW72,AW73,AW74,AW75,AW76,AW77,AW78,AW79,AW80,AW70,35)))</f>
        <v>***</v>
      </c>
    </row>
    <row r="74" spans="8:52" ht="11.25">
      <c r="H74" s="276">
        <f>AH48+AH86</f>
        <v>187971.92770453903</v>
      </c>
      <c r="I74" s="276"/>
      <c r="J74" s="276"/>
      <c r="K74" s="150" t="s">
        <v>197</v>
      </c>
      <c r="L74" s="15" t="s">
        <v>133</v>
      </c>
      <c r="M74" s="15"/>
      <c r="N74" s="15"/>
      <c r="O74" s="280">
        <f>tgmohfind(H74,O81,U81,0,U74,Q75,U75,W71,W72,W73,W74,W75,W76,W77,W78,W79,W80,Y71,Y72,Y73,Y74,Y75,Y76,Y77,Y78,Y79,Y80,X70)</f>
        <v>19.630000000000013</v>
      </c>
      <c r="P74" s="280"/>
      <c r="Q74" s="281"/>
      <c r="R74" s="282">
        <f>O74</f>
        <v>19.630000000000013</v>
      </c>
      <c r="S74" s="283"/>
      <c r="T74" s="283"/>
      <c r="U74" s="137" t="str">
        <f>AN36</f>
        <v>℃</v>
      </c>
      <c r="V74" s="9"/>
      <c r="W74" s="74" t="str">
        <f>IF(W70&lt;&gt;"Yes","***",AP36)</f>
        <v>Ar</v>
      </c>
      <c r="X74" s="140">
        <f>IF(W70&lt;&gt;"Yes","***",(AH43/IF(X70="weight%",1,AH42)*AQ36/100+AH81/IF(X70="weight%",1,AH80)*AQ74/100)/(AH43/IF(X70="weight%",1,AH42)+AH81/IF(X70="weight%",1,AH80))*100)</f>
        <v>0.9218000584428324</v>
      </c>
      <c r="Y74" s="143">
        <f>IF(W70&lt;&gt;"Yes","***",gmconv(W71,W72,W73,W74,W75,W76,W77,W78,W79,W80,X71,X72,X73,X74,X75,X76,X77,X78,X79,X80,X70,IF(X70="volume%",44,45)))</f>
        <v>0.9218000584428324</v>
      </c>
      <c r="Z74" s="143">
        <f>IF(W70&lt;&gt;"Yes","***",gmconv(W71,W72,W73,W74,W75,W76,W77,W78,W79,W80,X71,X72,X73,X74,X75,X76,X77,X78,X79,X80,X70,IF(X70="volume%",44,45)))</f>
        <v>0.9218000584428324</v>
      </c>
      <c r="AA74" s="9"/>
      <c r="AE74" s="15" t="s">
        <v>133</v>
      </c>
      <c r="AF74" s="15"/>
      <c r="AG74" s="15"/>
      <c r="AH74" s="258">
        <v>4</v>
      </c>
      <c r="AI74" s="258"/>
      <c r="AJ74" s="259"/>
      <c r="AK74" s="260">
        <f>AH74</f>
        <v>4</v>
      </c>
      <c r="AL74" s="258"/>
      <c r="AM74" s="258"/>
      <c r="AN74" s="137" t="str">
        <f>AN36</f>
        <v>℃</v>
      </c>
      <c r="AO74" s="9"/>
      <c r="AP74" s="74" t="str">
        <f>IF(AP70&lt;&gt;"Yes","***",IF(AW89&lt;&gt;"Yes",AU74,AU98))</f>
        <v>Ar</v>
      </c>
      <c r="AQ74" s="75">
        <f>IF(AP70&lt;&gt;"Yes","***",IF(AW89&lt;&gt;"Yes",IF(AQ70=AY70,AY74,AZ74),IF(AQ70=AW94,AW98,AX98)))</f>
        <v>0.9287184348159111</v>
      </c>
      <c r="AR74" s="76">
        <f>IF(AP70&lt;&gt;"Yes","***",gmconv(AP71,AP72,AP73,AP74,AP75,AP76,AP77,AP78,AP79,AP80,AQ71,AQ72,AQ73,AQ74,AQ75,AQ76,AQ77,AQ78,AQ79,AQ80,AQ70,IF(AQ70="volume%",44,45)))</f>
        <v>0.9287184348159111</v>
      </c>
      <c r="AS74" s="76">
        <f>IF(AP70&lt;&gt;"Yes","***",gmconv(AP71,AP72,AP73,AP74,AP75,AP76,AP77,AP78,AP79,AP80,AQ71,AQ72,AQ73,AQ74,AQ75,AQ76,AQ77,AQ78,AQ79,AQ80,AQ70,IF(AQ70="volume%",44,45)))</f>
        <v>0.9287184348159111</v>
      </c>
      <c r="AT74" s="9"/>
      <c r="AU74" s="133" t="str">
        <f t="shared" si="0"/>
        <v>O2</v>
      </c>
      <c r="AV74" s="15"/>
      <c r="AW74" s="227">
        <v>20.15</v>
      </c>
      <c r="AX74" s="227"/>
      <c r="AY74" s="77" t="str">
        <f>IF(AU70&lt;&gt;"Yes","***",IF(OR(AU74="",AW74="",AW74&lt;=0),0,gmconv(AU71,AU72,AU73,AU74,AU75,AU76,AU77,AU78,AU79,AU80,AW71,AW72,AW73,AW74,AW75,AW76,AW77,AW78,AW79,AW80,AW70,44)))</f>
        <v>***</v>
      </c>
      <c r="AZ74" s="75" t="str">
        <f>IF(AU70&lt;&gt;"Yes","***",IF(OR(AU74="",AW74="",AW74&lt;=0),0,gmconv(AU71,AU72,AU73,AU74,AU75,AU76,AU77,AU78,AU79,AU80,AW71,AW72,AW73,AW74,AW75,AW76,AW77,AW78,AW79,AW80,AW70,45)))</f>
        <v>***</v>
      </c>
    </row>
    <row r="75" spans="12:52" ht="11.25">
      <c r="L75" s="221" t="s">
        <v>134</v>
      </c>
      <c r="M75" s="45" t="s">
        <v>141</v>
      </c>
      <c r="N75" s="15"/>
      <c r="O75" s="80">
        <f>AH37</f>
        <v>0</v>
      </c>
      <c r="P75" s="80"/>
      <c r="Q75" s="116">
        <f>O75-IF(U76&lt;&gt;"Absolute",0,pressconv(1.033227,"kg/cm2.g",U75))</f>
        <v>0</v>
      </c>
      <c r="R75" s="125"/>
      <c r="S75" s="15"/>
      <c r="T75" s="15"/>
      <c r="U75" s="137" t="str">
        <f>AN37</f>
        <v>mmH2O</v>
      </c>
      <c r="V75" s="9"/>
      <c r="W75" s="74" t="str">
        <f>IF(W70&lt;&gt;"Yes","***",AP37)</f>
        <v>CO2</v>
      </c>
      <c r="X75" s="140">
        <f>IF(W70&lt;&gt;"Yes","***",(AH43/IF(X70="weight%",1,AH42)*AQ37/100+AH81/IF(X70="weight%",1,AH80)*AQ75/100)/(AH43/IF(X70="weight%",1,AH42)+AH81/IF(X70="weight%",1,AH80))*100)</f>
        <v>0.030989852071846825</v>
      </c>
      <c r="Y75" s="143">
        <f>IF(W70&lt;&gt;"Yes","***",gmconv(W71,W72,W73,W74,W75,W76,W77,W78,W79,W80,X71,X72,X73,X74,X75,X76,X77,X78,X79,X80,X70,IF(X70="volume%",54,55)))</f>
        <v>0.030989852071846825</v>
      </c>
      <c r="Z75" s="143">
        <f>IF(W70&lt;&gt;"Yes","***",gmconv(W71,W72,W73,W74,W75,W76,W77,W78,W79,W80,X71,X72,X73,X74,X75,X76,X77,X78,X79,X80,X70,IF(X70="volume%",54,55)))</f>
        <v>0.030989852071846825</v>
      </c>
      <c r="AA75" s="9"/>
      <c r="AE75" s="221" t="s">
        <v>134</v>
      </c>
      <c r="AF75" s="45" t="s">
        <v>141</v>
      </c>
      <c r="AG75" s="15"/>
      <c r="AH75" s="80">
        <f>AH37</f>
        <v>0</v>
      </c>
      <c r="AI75" s="80"/>
      <c r="AJ75" s="116">
        <f>AH75-IF(AN76&lt;&gt;"Absolute",0,pressconv(1.033227,"kg/cm2.g",AN75))</f>
        <v>0</v>
      </c>
      <c r="AK75" s="125"/>
      <c r="AL75" s="15"/>
      <c r="AM75" s="15"/>
      <c r="AN75" s="137" t="str">
        <f>AN37</f>
        <v>mmH2O</v>
      </c>
      <c r="AO75" s="9"/>
      <c r="AP75" s="74" t="str">
        <f>IF(AP70&lt;&gt;"Yes","***",IF(AW89&lt;&gt;"Yes",AU75,AU99))</f>
        <v>CO2</v>
      </c>
      <c r="AQ75" s="75">
        <f>IF(AP70&lt;&gt;"Yes","***",IF(AW89&lt;&gt;"Yes",IF(AQ70=AY70,AY75,AZ75),IF(AQ70=AW94,AW99,AX99)))</f>
        <v>0.031222439885674098</v>
      </c>
      <c r="AR75" s="76">
        <f>IF(AP70&lt;&gt;"Yes","***",gmconv(AP71,AP72,AP73,AP74,AP75,AP76,AP77,AP78,AP79,AP80,AQ71,AQ72,AQ73,AQ74,AQ75,AQ76,AQ77,AQ78,AQ79,AQ80,AQ70,IF(AQ70="volume%",54,55)))</f>
        <v>0.031222439885674098</v>
      </c>
      <c r="AS75" s="76">
        <f>IF(AP70&lt;&gt;"Yes","***",gmconv(AP71,AP72,AP73,AP74,AP75,AP76,AP77,AP78,AP79,AP80,AQ71,AQ72,AQ73,AQ74,AQ75,AQ76,AQ77,AQ78,AQ79,AQ80,AQ70,IF(AQ70="volume%",54,55)))</f>
        <v>0.031222439885674098</v>
      </c>
      <c r="AT75" s="9"/>
      <c r="AU75" s="133" t="str">
        <f t="shared" si="0"/>
        <v>SO2</v>
      </c>
      <c r="AV75" s="15"/>
      <c r="AW75" s="227">
        <v>0</v>
      </c>
      <c r="AX75" s="227"/>
      <c r="AY75" s="77" t="str">
        <f>IF(AU70&lt;&gt;"Yes","***",IF(OR(AU75="",AW75="",AW75&lt;=0),0,gmconv(AU71,AU72,AU73,AU74,AU75,AU76,AU77,AU78,AU79,AU80,AW71,AW72,AW73,AW74,AW75,AW76,AW77,AW78,AW79,AW80,AW70,54)))</f>
        <v>***</v>
      </c>
      <c r="AZ75" s="75" t="str">
        <f>IF(AU70&lt;&gt;"Yes","***",IF(OR(AU75="",AW75="",AW75&lt;=0),0,gmconv(AU71,AU72,AU73,AU74,AU75,AU76,AU77,AU78,AU79,AU80,AW71,AW72,AW73,AW74,AW75,AW76,AW77,AW78,AW79,AW80,AW70,55)))</f>
        <v>***</v>
      </c>
    </row>
    <row r="76" spans="12:52" ht="11.25" customHeight="1">
      <c r="L76" s="221"/>
      <c r="M76" s="121" t="s">
        <v>140</v>
      </c>
      <c r="N76" s="15"/>
      <c r="O76" s="15"/>
      <c r="P76" s="124"/>
      <c r="Q76" s="80">
        <f>AJ38</f>
        <v>0</v>
      </c>
      <c r="R76" s="78">
        <f>O75-Q76</f>
        <v>0</v>
      </c>
      <c r="S76" s="59"/>
      <c r="T76" s="116">
        <f>Q75-Q76</f>
        <v>0</v>
      </c>
      <c r="U76" s="138" t="str">
        <f>AN38</f>
        <v>Gauge</v>
      </c>
      <c r="V76" s="9"/>
      <c r="W76" s="74">
        <f>IF(W70&lt;&gt;"Yes","***",AP38)</f>
      </c>
      <c r="X76" s="140">
        <f>IF(W70&lt;&gt;"Yes","***",(AH43/IF(X70="weight%",1,AH42)*AQ38/100+AH81/IF(X70="weight%",1,AH80)*AQ76/100)/(AH43/IF(X70="weight%",1,AH42)+AH81/IF(X70="weight%",1,AH80))*100)</f>
        <v>0</v>
      </c>
      <c r="Y76" s="143">
        <f>IF(W70&lt;&gt;"Yes","***",gmconv(W71,W72,W73,W74,W75,W76,W77,W78,W79,W80,X71,X72,X73,X74,X75,X76,X77,X78,X79,X80,X70,IF(X70="volume%",64,65)))</f>
        <v>0</v>
      </c>
      <c r="Z76" s="143">
        <f>IF(W70&lt;&gt;"Yes","***",gmconv(W71,W72,W73,W74,W75,W76,W77,W78,W79,W80,X71,X72,X73,X74,X75,X76,X77,X78,X79,X80,X70,IF(X70="volume%",64,65)))</f>
        <v>0</v>
      </c>
      <c r="AA76" s="9"/>
      <c r="AE76" s="221"/>
      <c r="AF76" s="121" t="s">
        <v>140</v>
      </c>
      <c r="AG76" s="15"/>
      <c r="AH76" s="15"/>
      <c r="AI76" s="124"/>
      <c r="AJ76" s="80">
        <f>AJ38</f>
        <v>0</v>
      </c>
      <c r="AK76" s="78">
        <f>AH75-AJ76</f>
        <v>0</v>
      </c>
      <c r="AL76" s="59"/>
      <c r="AM76" s="116">
        <f>AJ75-AJ76</f>
        <v>0</v>
      </c>
      <c r="AN76" s="138" t="str">
        <f>AN38</f>
        <v>Gauge</v>
      </c>
      <c r="AO76" s="9"/>
      <c r="AP76" s="74">
        <f>IF(AP70&lt;&gt;"Yes","***",IF(AW89&lt;&gt;"Yes",AU76,""))</f>
      </c>
      <c r="AQ76" s="75">
        <f>IF(AP70&lt;&gt;"Yes","***",IF(AW89&lt;&gt;"Yes",IF(AQ70=AY70,AY76,AZ76),0))</f>
        <v>0</v>
      </c>
      <c r="AR76" s="76">
        <f>IF(AP70&lt;&gt;"Yes","***",gmconv(AP71,AP72,AP73,AP74,AP75,AP76,AP77,AP78,AP79,AP80,AQ71,AQ72,AQ73,AQ74,AQ75,AQ76,AQ77,AQ78,AQ79,AQ80,AQ70,IF(AQ70="volume%",64,65)))</f>
        <v>0</v>
      </c>
      <c r="AS76" s="76">
        <f>IF(AP70&lt;&gt;"Yes","***",gmconv(AP71,AP72,AP73,AP74,AP75,AP76,AP77,AP78,AP79,AP80,AQ71,AQ72,AQ73,AQ74,AQ75,AQ76,AQ77,AQ78,AQ79,AQ80,AQ70,IF(AQ70="volume%",64,65)))</f>
        <v>0</v>
      </c>
      <c r="AT76" s="9"/>
      <c r="AU76" s="133">
        <f t="shared" si="0"/>
      </c>
      <c r="AV76" s="15"/>
      <c r="AW76" s="227"/>
      <c r="AX76" s="227"/>
      <c r="AY76" s="77" t="str">
        <f>IF(AU70&lt;&gt;"Yes","***",IF(OR(AU76="",AW76="",AW76&lt;=0),0,gmconv(AU71,AU72,AU73,AU74,AU75,AU76,AU77,AU78,AU79,AU80,AW71,AW72,AW73,AW74,AW75,AW76,AW77,AW78,AW79,AW80,AW70,64)))</f>
        <v>***</v>
      </c>
      <c r="AZ76" s="75" t="str">
        <f>IF(AU70&lt;&gt;"Yes","***",IF(OR(AU76="",AW76="",AW76&lt;=0),0,gmconv(AU71,AU72,AU73,AU74,AU75,AU76,AU77,AU78,AU79,AU80,AW71,AW72,AW73,AW74,AW75,AW76,AW77,AW78,AW79,AW80,AW70,65)))</f>
        <v>***</v>
      </c>
    </row>
    <row r="77" spans="12:52" ht="11.25">
      <c r="L77" s="15" t="s">
        <v>107</v>
      </c>
      <c r="M77" s="15"/>
      <c r="N77" s="15"/>
      <c r="O77" s="239">
        <f>IF(O68&lt;&gt;"Gas Mixture","***",tempconv(Y85,AA85,U77))</f>
        <v>11.154678888293859</v>
      </c>
      <c r="P77" s="239"/>
      <c r="Q77" s="261"/>
      <c r="R77" s="262">
        <f>IF(O68&lt;&gt;"Gas Mixture","***",tempconv(Z85,AA85,U77))</f>
        <v>11.154678888293859</v>
      </c>
      <c r="S77" s="239"/>
      <c r="T77" s="239"/>
      <c r="U77" s="9" t="str">
        <f>U74</f>
        <v>℃</v>
      </c>
      <c r="V77" s="9"/>
      <c r="W77" s="74">
        <f>IF(W70&lt;&gt;"Yes","***",AP39)</f>
      </c>
      <c r="X77" s="140">
        <f>IF(W70&lt;&gt;"Yes","***",(AH43/IF(X70="weight%",1,AH42)*AQ39/100+AH81/IF(X70="weight%",1,AH80)*AQ77/100)/(AH43/IF(X70="weight%",1,AH42)+AH81/IF(X70="weight%",1,AH80))*100)</f>
        <v>0</v>
      </c>
      <c r="Y77" s="143">
        <f>IF(W70&lt;&gt;"Yes","***",gmconv(W71,W72,W73,W74,W75,W76,W77,W78,W79,W80,X71,X72,X73,X74,X75,X76,X77,X78,X79,X80,X70,IF(X70="volume%",74,75)))</f>
        <v>0</v>
      </c>
      <c r="Z77" s="143">
        <f>IF(W70&lt;&gt;"Yes","***",gmconv(W71,W72,W73,W74,W75,W76,W77,W78,W79,W80,X71,X72,X73,X74,X75,X76,X77,X78,X79,X80,X70,IF(X70="volume%",74,75)))</f>
        <v>0</v>
      </c>
      <c r="AA77" s="9"/>
      <c r="AE77" s="15" t="s">
        <v>107</v>
      </c>
      <c r="AF77" s="15"/>
      <c r="AG77" s="15"/>
      <c r="AH77" s="239" t="str">
        <f>IF(AH68&lt;&gt;"Gas Mixture","***",tempconv(AR85,AT85,AN77))</f>
        <v>- N/A -</v>
      </c>
      <c r="AI77" s="239"/>
      <c r="AJ77" s="261"/>
      <c r="AK77" s="262" t="str">
        <f>IF(AH68&lt;&gt;"Gas Mixture","***",tempconv(AS85,AT85,AN77))</f>
        <v>- N/A -</v>
      </c>
      <c r="AL77" s="239"/>
      <c r="AM77" s="239"/>
      <c r="AN77" s="9" t="str">
        <f>AN74</f>
        <v>℃</v>
      </c>
      <c r="AO77" s="9"/>
      <c r="AP77" s="74">
        <f>IF(AP70&lt;&gt;"Yes","***",IF(AW89&lt;&gt;"Yes",AU77,""))</f>
      </c>
      <c r="AQ77" s="75">
        <f>IF(AP70&lt;&gt;"Yes","***",IF(AW89&lt;&gt;"Yes",IF(AQ70=AY70,AY77,AZ77),0))</f>
        <v>0</v>
      </c>
      <c r="AR77" s="76">
        <f>IF(AP70&lt;&gt;"Yes","***",gmconv(AP71,AP72,AP73,AP74,AP75,AP76,AP77,AP78,AP79,AP80,AQ71,AQ72,AQ73,AQ74,AQ75,AQ76,AQ77,AQ78,AQ79,AQ80,AQ70,IF(AQ70="volume%",74,75)))</f>
        <v>0</v>
      </c>
      <c r="AS77" s="76">
        <f>IF(AP70&lt;&gt;"Yes","***",gmconv(AP71,AP72,AP73,AP74,AP75,AP76,AP77,AP78,AP79,AP80,AQ71,AQ72,AQ73,AQ74,AQ75,AQ76,AQ77,AQ78,AQ79,AQ80,AQ70,IF(AQ70="volume%",74,75)))</f>
        <v>0</v>
      </c>
      <c r="AT77" s="9"/>
      <c r="AU77" s="133">
        <f t="shared" si="0"/>
      </c>
      <c r="AV77" s="15"/>
      <c r="AW77" s="227"/>
      <c r="AX77" s="227"/>
      <c r="AY77" s="77" t="str">
        <f>IF(AU70&lt;&gt;"Yes","***",IF(OR(AU77="",AW77="",AW77&lt;=0),0,gmconv(AU71,AU72,AU73,AU74,AU75,AU76,AU77,AU78,AU79,AU80,AW71,AW72,AW73,AW74,AW75,AW76,AW77,AW78,AW79,AW80,AW70,74)))</f>
        <v>***</v>
      </c>
      <c r="AZ77" s="75" t="str">
        <f>IF(AU70&lt;&gt;"Yes","***",IF(OR(AU77="",AW77="",AW77&lt;=0),0,gmconv(AU71,AU72,AU73,AU74,AU75,AU76,AU77,AU78,AU79,AU80,AW71,AW72,AW73,AW74,AW75,AW76,AW77,AW78,AW79,AW80,AW70,75)))</f>
        <v>***</v>
      </c>
    </row>
    <row r="78" spans="12:52" ht="11.25">
      <c r="L78" s="15" t="s">
        <v>135</v>
      </c>
      <c r="M78" s="15"/>
      <c r="N78" s="15"/>
      <c r="O78" s="229">
        <f>gmprop(O74,U74,Q75,U75,W71,W72,W73,W74,W75,W76,W77,W78,W79,W80,Y71,Y72,Y73,Y74,Y75,Y76,Y77,Y78,Y79,Y80,X70,-1)</f>
        <v>28.821418401277167</v>
      </c>
      <c r="P78" s="229"/>
      <c r="Q78" s="230"/>
      <c r="R78" s="232">
        <f>gmprop(R74,U74,T76,U75,W71,W72,W73,W74,W75,W76,W77,W78,W79,W80,Z71,Z72,Z73,Z74,Z75,Z76,Z77,Z78,Z79,Z80,X70,-1)</f>
        <v>28.821418401277167</v>
      </c>
      <c r="S78" s="229"/>
      <c r="T78" s="229"/>
      <c r="U78" s="9"/>
      <c r="V78" s="9"/>
      <c r="W78" s="74">
        <f>IF(W70&lt;&gt;"Yes","***",AP40)</f>
      </c>
      <c r="X78" s="140">
        <f>IF(W70&lt;&gt;"Yes","***",(AH43/IF(X70="weight%",1,AH42)*AQ40/100+AH81/IF(X70="weight%",1,AH80)*AQ78/100)/(AH43/IF(X70="weight%",1,AH42)+AH81/IF(X70="weight%",1,AH80))*100)</f>
        <v>0</v>
      </c>
      <c r="Y78" s="143">
        <f>IF(W70&lt;&gt;"Yes","***",gmconv(W71,W72,W73,W74,W75,W76,W77,W78,W79,W80,X71,X72,X73,X74,X75,X76,X77,X78,X79,X80,X70,IF(X70="volume%",84,85)))</f>
        <v>0</v>
      </c>
      <c r="Z78" s="143">
        <f>IF(W70&lt;&gt;"Yes","***",gmconv(W71,W72,W73,W74,W75,W76,W77,W78,W79,W80,X71,X72,X73,X74,X75,X76,X77,X78,X79,X80,X70,IF(X70="volume%",84,85)))</f>
        <v>0</v>
      </c>
      <c r="AA78" s="9"/>
      <c r="AE78" s="15" t="s">
        <v>135</v>
      </c>
      <c r="AF78" s="15"/>
      <c r="AG78" s="15"/>
      <c r="AH78" s="229">
        <f>gmprop(AH74,AN74,AJ75,AN75,AP71,AP72,AP73,AP74,AP75,AP76,AP77,AP78,AP79,AP80,AR71,AR72,AR73,AR74,AR75,AR76,AR77,AR78,AR79,AR80,AQ70,-1)</f>
        <v>28.902522199638835</v>
      </c>
      <c r="AI78" s="229"/>
      <c r="AJ78" s="230"/>
      <c r="AK78" s="232">
        <f>gmprop(AK74,AN74,AM76,AN75,AP71,AP72,AP73,AP74,AP75,AP76,AP77,AP78,AP79,AP80,AS71,AS72,AS73,AS74,AS75,AS76,AS77,AS78,AS79,AS80,AQ70,-1)</f>
        <v>28.902522199638835</v>
      </c>
      <c r="AL78" s="229"/>
      <c r="AM78" s="229"/>
      <c r="AN78" s="9"/>
      <c r="AO78" s="9"/>
      <c r="AP78" s="74">
        <f>IF(AP70&lt;&gt;"Yes","***",IF(AW89&lt;&gt;"Yes",AU78,""))</f>
      </c>
      <c r="AQ78" s="75">
        <f>IF(AP70&lt;&gt;"Yes","***",IF(AW89&lt;&gt;"Yes",IF(AQ70=AY70,AY78,AZ78),0))</f>
        <v>0</v>
      </c>
      <c r="AR78" s="76">
        <f>IF(AP70&lt;&gt;"Yes","***",gmconv(AP71,AP72,AP73,AP74,AP75,AP76,AP77,AP78,AP79,AP80,AQ71,AQ72,AQ73,AQ74,AQ75,AQ76,AQ77,AQ78,AQ79,AQ80,AQ70,IF(AQ70="volume%",84,85)))</f>
        <v>0</v>
      </c>
      <c r="AS78" s="76">
        <f>IF(AP70&lt;&gt;"Yes","***",gmconv(AP71,AP72,AP73,AP74,AP75,AP76,AP77,AP78,AP79,AP80,AQ71,AQ72,AQ73,AQ74,AQ75,AQ76,AQ77,AQ78,AQ79,AQ80,AQ70,IF(AQ70="volume%",84,85)))</f>
        <v>0</v>
      </c>
      <c r="AT78" s="9"/>
      <c r="AU78" s="133">
        <f t="shared" si="0"/>
      </c>
      <c r="AV78" s="15"/>
      <c r="AW78" s="227"/>
      <c r="AX78" s="227"/>
      <c r="AY78" s="77" t="str">
        <f>IF(AU70&lt;&gt;"Yes","***",IF(OR(AU78="",AW78="",AW78&lt;=0),0,gmconv(AU71,AU72,AU73,AU74,AU75,AU76,AU77,AU78,AU79,AU80,AW71,AW72,AW73,AW74,AW75,AW76,AW77,AW78,AW79,AW80,AW70,84)))</f>
        <v>***</v>
      </c>
      <c r="AZ78" s="75" t="str">
        <f>IF(AU70&lt;&gt;"Yes","***",IF(OR(AU78="",AW78="",AW78&lt;=0),0,gmconv(AU71,AU72,AU73,AU74,AU75,AU76,AU77,AU78,AU79,AU80,AW71,AW72,AW73,AW74,AW75,AW76,AW77,AW78,AW79,AW80,AW70,85)))</f>
        <v>***</v>
      </c>
    </row>
    <row r="79" spans="12:52" ht="11.25">
      <c r="L79" s="224" t="s">
        <v>129</v>
      </c>
      <c r="M79" s="45" t="s">
        <v>122</v>
      </c>
      <c r="N79" s="45"/>
      <c r="O79" s="229">
        <f>gmprop(O74,U74,Q75,U75,W71,W72,W73,W74,W75,W76,W77,W78,W79,W80,Y71,Y72,Y73,Y74,Y75,Y76,Y77,Y78,Y79,Y80,X70,2)</f>
        <v>1.1996624760475156</v>
      </c>
      <c r="P79" s="230"/>
      <c r="Q79" s="232">
        <f>gmprop((O74+R74)/2,U74,(Q75+T76)/2,U75,W71,W72,W73,W74,W75,W76,W77,W78,W79,W80,Y71,Y72,Y73,Y74,Y75,Y76,Y77,Y78,Y79,Y80,X70,2)</f>
        <v>1.1996624760475156</v>
      </c>
      <c r="R79" s="230"/>
      <c r="S79" s="232">
        <f>gmprop(R74,U74,T76,U75,W71,W72,W73,W74,W75,W76,W77,W78,W79,W80,Z71,Z72,Z73,Z74,Z75,Z76,Z77,Z78,Z79,Z80,X70,2)</f>
        <v>1.1996624760475156</v>
      </c>
      <c r="T79" s="229"/>
      <c r="U79" s="9" t="s">
        <v>123</v>
      </c>
      <c r="V79" s="9"/>
      <c r="W79" s="74">
        <f>IF(W70&lt;&gt;"Yes","***",AP41)</f>
      </c>
      <c r="X79" s="140">
        <f>IF(W70&lt;&gt;"Yes","***",(AH43/IF(X70="weight%",1,AH42)*AQ41/100+AH81/IF(X70="weight%",1,AH80)*AQ79/100)/(AH43/IF(X70="weight%",1,AH42)+AH81/IF(X70="weight%",1,AH80))*100)</f>
        <v>0</v>
      </c>
      <c r="Y79" s="143">
        <f>IF(W70&lt;&gt;"Yes","***",gmconv(W71,W72,W73,W74,W75,W76,W77,W78,W79,W80,X71,X72,X73,X74,X75,X76,X77,X78,X79,X80,X70,IF(X70="volume%",94,95)))</f>
        <v>0</v>
      </c>
      <c r="Z79" s="143">
        <f>IF(W70&lt;&gt;"Yes","***",gmconv(W71,W72,W73,W74,W75,W76,W77,W78,W79,W80,X71,X72,X73,X74,X75,X76,X77,X78,X79,X80,X70,IF(X70="volume%",94,95)))</f>
        <v>0</v>
      </c>
      <c r="AA79" s="9"/>
      <c r="AE79" s="224" t="s">
        <v>129</v>
      </c>
      <c r="AF79" s="45" t="s">
        <v>122</v>
      </c>
      <c r="AG79" s="45"/>
      <c r="AH79" s="229">
        <f>gmprop(AH74,AN74,AJ75,AN75,AP71,AP72,AP73,AP74,AP75,AP76,AP77,AP78,AP79,AP80,AR71,AR72,AR73,AR74,AR75,AR76,AR77,AR78,AR79,AR80,AQ70,2)</f>
        <v>1.2708842328911274</v>
      </c>
      <c r="AI79" s="230"/>
      <c r="AJ79" s="232">
        <f>gmprop((AH74+AK74)/2,AN74,(AJ75+AM76)/2,AN75,AP71,AP72,AP73,AP74,AP75,AP76,AP77,AP78,AP79,AP80,AR71,AR72,AR73,AR74,AR75,AR76,AR77,AR78,AR79,AR80,AQ70,2)</f>
        <v>1.2708842328911274</v>
      </c>
      <c r="AK79" s="230"/>
      <c r="AL79" s="232">
        <f>gmprop(AK74,AN74,AM76,AN75,AP71,AP72,AP73,AP74,AP75,AP76,AP77,AP78,AP79,AP80,AS71,AS72,AS73,AS74,AS75,AS76,AS77,AS78,AS79,AS80,AQ70,2)</f>
        <v>1.2708842328911274</v>
      </c>
      <c r="AM79" s="229"/>
      <c r="AN79" s="9" t="s">
        <v>123</v>
      </c>
      <c r="AO79" s="9"/>
      <c r="AP79" s="74">
        <f>IF(AP70&lt;&gt;"Yes","***",IF(AW89&lt;&gt;"Yes",AU79,""))</f>
      </c>
      <c r="AQ79" s="75">
        <f>IF(AP70&lt;&gt;"Yes","***",IF(AW89&lt;&gt;"Yes",IF(AQ70=AY70,AY79,AZ79),0))</f>
        <v>0</v>
      </c>
      <c r="AR79" s="76">
        <f>IF(AP70&lt;&gt;"Yes","***",gmconv(AP71,AP72,AP73,AP74,AP75,AP76,AP77,AP78,AP79,AP80,AQ71,AQ72,AQ73,AQ74,AQ75,AQ76,AQ77,AQ78,AQ79,AQ80,AQ70,IF(AQ70="volume%",94,95)))</f>
        <v>0</v>
      </c>
      <c r="AS79" s="76">
        <f>IF(AP70&lt;&gt;"Yes","***",gmconv(AP71,AP72,AP73,AP74,AP75,AP76,AP77,AP78,AP79,AP80,AQ71,AQ72,AQ73,AQ74,AQ75,AQ76,AQ77,AQ78,AQ79,AQ80,AQ70,IF(AQ70="volume%",94,95)))</f>
        <v>0</v>
      </c>
      <c r="AT79" s="9"/>
      <c r="AU79" s="133">
        <f t="shared" si="0"/>
      </c>
      <c r="AV79" s="15"/>
      <c r="AW79" s="227"/>
      <c r="AX79" s="227"/>
      <c r="AY79" s="77" t="str">
        <f>IF(AU70&lt;&gt;"Yes","***",IF(OR(AU79="",AW79="",AW79&lt;=0),0,gmconv(AU71,AU72,AU73,AU74,AU75,AU76,AU77,AU78,AU79,AU80,AW71,AW72,AW73,AW74,AW75,AW76,AW77,AW78,AW79,AW80,AW70,94)))</f>
        <v>***</v>
      </c>
      <c r="AZ79" s="75" t="str">
        <f>IF(AU70&lt;&gt;"Yes","***",IF(OR(AU79="",AW79="",AW79&lt;=0),0,gmconv(AU71,AU72,AU73,AU74,AU75,AU76,AU77,AU78,AU79,AU80,AW71,AW72,AW73,AW74,AW75,AW76,AW77,AW78,AW79,AW80,AW70,95)))</f>
        <v>***</v>
      </c>
    </row>
    <row r="80" spans="12:52" ht="11.25">
      <c r="L80" s="224"/>
      <c r="M80" s="45"/>
      <c r="N80" s="45"/>
      <c r="O80" s="229">
        <f>gmprop(O74,U74,Q75,U75,W71,W72,W73,W74,W75,W76,W77,W78,W79,W80,Y71,Y72,Y73,Y74,Y75,Y76,Y77,Y78,Y79,Y80,X70,-2)</f>
        <v>1.2858765503832752</v>
      </c>
      <c r="P80" s="229"/>
      <c r="Q80" s="230"/>
      <c r="R80" s="232">
        <f>gmprop(R74,U74,T76,U75,W71,W72,W73,W74,W75,W76,W77,W78,W79,W80,Z71,Z72,Z73,Z74,Z75,Z76,Z77,Z78,Z79,Z80,X70,-2)</f>
        <v>1.2858765503832752</v>
      </c>
      <c r="S80" s="229"/>
      <c r="T80" s="229"/>
      <c r="U80" s="9" t="s">
        <v>124</v>
      </c>
      <c r="V80" s="9"/>
      <c r="W80" s="47">
        <f>IF(W70&lt;&gt;"Yes","***",AP42)</f>
      </c>
      <c r="X80" s="141">
        <f>IF(W70&lt;&gt;"Yes","***",(AH43/IF(X70="weight%",1,AH42)*AQ42/100+AH81/IF(X70="weight%",1,AH80)*AQ80/100)/(AH43/IF(X70="weight%",1,AH42)+AH81/IF(X70="weight%",1,AH80))*100)</f>
        <v>0</v>
      </c>
      <c r="Y80" s="144">
        <f>IF(W70&lt;&gt;"Yes","***",gmconv(W71,W72,W73,W74,W75,W76,W77,W78,W79,W80,X71,X72,X73,X74,X75,X76,X77,X78,X79,X80,X70,IF(X70="volume%",104,105)))</f>
        <v>0</v>
      </c>
      <c r="Z80" s="143">
        <f>IF(W70&lt;&gt;"Yes","***",gmconv(W71,W72,W73,W74,W75,W76,W77,W78,W79,W80,X71,X72,X73,X74,X75,X76,X77,X78,X79,X80,X70,IF(X70="volume%",104,105)))</f>
        <v>0</v>
      </c>
      <c r="AA80" s="9"/>
      <c r="AE80" s="224"/>
      <c r="AF80" s="45"/>
      <c r="AG80" s="45"/>
      <c r="AH80" s="229">
        <f>gmprop(AH74,AN74,AJ75,AN75,AP71,AP72,AP73,AP74,AP75,AP76,AP77,AP78,AP79,AP80,AR71,AR72,AR73,AR74,AR75,AR76,AR77,AR78,AR79,AR80,AQ70,-2)</f>
        <v>1.2894950215843894</v>
      </c>
      <c r="AI80" s="229"/>
      <c r="AJ80" s="230"/>
      <c r="AK80" s="232">
        <f>gmprop(AK74,AN74,AM76,AN75,AP71,AP72,AP73,AP74,AP75,AP76,AP77,AP78,AP79,AP80,AS71,AS72,AS73,AS74,AS75,AS76,AS77,AS78,AS79,AS80,AQ70,-2)</f>
        <v>1.2894950215843894</v>
      </c>
      <c r="AL80" s="229"/>
      <c r="AM80" s="229"/>
      <c r="AN80" s="9" t="s">
        <v>124</v>
      </c>
      <c r="AO80" s="9"/>
      <c r="AP80" s="47">
        <f>IF(AP70&lt;&gt;"Yes","***",IF(AW89&lt;&gt;"Yes",AU80,""))</f>
      </c>
      <c r="AQ80" s="82">
        <f>IF(AP70&lt;&gt;"Yes","***",IF(AW89&lt;&gt;"Yes",IF(AQ70=AY70,AY80,AZ80),0))</f>
        <v>0</v>
      </c>
      <c r="AR80" s="83">
        <f>IF(AP70&lt;&gt;"Yes","***",gmconv(AP71,AP72,AP73,AP74,AP75,AP76,AP77,AP78,AP79,AP80,AQ71,AQ72,AQ73,AQ74,AQ75,AQ76,AQ77,AQ78,AQ79,AQ80,AQ70,IF(AQ70="volume%",104,105)))</f>
        <v>0</v>
      </c>
      <c r="AS80" s="76">
        <f>IF(AP70&lt;&gt;"Yes","***",gmconv(AP71,AP72,AP73,AP74,AP75,AP76,AP77,AP78,AP79,AP80,AQ71,AQ72,AQ73,AQ74,AQ75,AQ76,AQ77,AQ78,AQ79,AQ80,AQ70,IF(AQ70="volume%",104,105)))</f>
        <v>0</v>
      </c>
      <c r="AT80" s="9"/>
      <c r="AU80" s="134">
        <f t="shared" si="0"/>
      </c>
      <c r="AV80" s="61"/>
      <c r="AW80" s="231"/>
      <c r="AX80" s="231"/>
      <c r="AY80" s="84" t="str">
        <f>IF(AU70&lt;&gt;"Yes","***",IF(OR(AU80="",AW80="",AW80&lt;=0),0,gmconv(AU71,AU72,AU73,AU74,AU75,AU76,AU77,AU78,AU79,AU80,AW71,AW72,AW73,AW74,AW75,AW76,AW77,AW78,AW79,AW80,AW70,104)))</f>
        <v>***</v>
      </c>
      <c r="AZ80" s="82" t="str">
        <f>IF(AU70&lt;&gt;"Yes","***",IF(OR(AU80="",AW80="",AW80&lt;=0),0,gmconv(AU71,AU72,AU73,AU74,AU75,AU76,AU77,AU78,AU79,AU80,AW71,AW72,AW73,AW74,AW75,AW76,AW77,AW78,AW79,AW80,AW70,105)))</f>
        <v>***</v>
      </c>
    </row>
    <row r="81" spans="8:52" ht="11.25">
      <c r="H81" s="276">
        <f>AH43+AH81</f>
        <v>39589.9257183471</v>
      </c>
      <c r="I81" s="276"/>
      <c r="J81" s="276"/>
      <c r="K81" s="150" t="s">
        <v>197</v>
      </c>
      <c r="L81" s="221" t="s">
        <v>132</v>
      </c>
      <c r="M81" s="221"/>
      <c r="N81" s="221"/>
      <c r="O81" s="285">
        <f>AH43+AH81</f>
        <v>39589.9257183471</v>
      </c>
      <c r="P81" s="285"/>
      <c r="Q81" s="286"/>
      <c r="R81" s="243">
        <f>O81-R73</f>
        <v>39589.9257183471</v>
      </c>
      <c r="S81" s="237"/>
      <c r="T81" s="237"/>
      <c r="U81" s="9" t="s">
        <v>85</v>
      </c>
      <c r="V81" s="9"/>
      <c r="W81" s="85" t="s">
        <v>89</v>
      </c>
      <c r="X81" s="86">
        <f>IF(W70&lt;&gt;"Yes","***",SUM(X71:X80))</f>
        <v>100</v>
      </c>
      <c r="Y81" s="86">
        <f>IF(W70&lt;&gt;"Yes","***",SUM(Y71:Y80))</f>
        <v>100</v>
      </c>
      <c r="Z81" s="86">
        <f>IF(W70&lt;&gt;"Yes","***",SUM(Z71:Z80))</f>
        <v>100</v>
      </c>
      <c r="AA81" s="9"/>
      <c r="AE81" s="221" t="s">
        <v>132</v>
      </c>
      <c r="AF81" s="221"/>
      <c r="AG81" s="221"/>
      <c r="AH81" s="235">
        <f>AH70*IF(AK70="kg/h",1,IF(AK70="m3/h",1*AH79,IF(AK70="Nm3/h",1*AH80)))-AH73</f>
        <v>10167.073863129019</v>
      </c>
      <c r="AI81" s="235"/>
      <c r="AJ81" s="236"/>
      <c r="AK81" s="243">
        <f>AH70*IF(AK70="kg/h",1,IF(AK70="m3/h",1*AH79,IF(AK70="Nm3/h",1*AH80)))-AK73</f>
        <v>10167.073863129019</v>
      </c>
      <c r="AL81" s="237"/>
      <c r="AM81" s="237"/>
      <c r="AN81" s="9" t="s">
        <v>85</v>
      </c>
      <c r="AO81" s="9"/>
      <c r="AP81" s="85" t="s">
        <v>89</v>
      </c>
      <c r="AQ81" s="86">
        <f>IF(AP70&lt;&gt;"Yes","***",SUM(AQ71:AQ80))</f>
        <v>100</v>
      </c>
      <c r="AR81" s="86">
        <f>IF(AP70&lt;&gt;"Yes","***",SUM(AR71:AR80))</f>
        <v>100</v>
      </c>
      <c r="AS81" s="86">
        <f>IF(AP70&lt;&gt;"Yes","***",SUM(AS71:AS80))</f>
        <v>100</v>
      </c>
      <c r="AT81" s="9"/>
      <c r="AU81" s="65" t="s">
        <v>90</v>
      </c>
      <c r="AV81" s="65"/>
      <c r="AW81" s="228">
        <f>SUM(AW71:AX80)</f>
        <v>100</v>
      </c>
      <c r="AX81" s="228"/>
      <c r="AY81" s="87" t="str">
        <f>IF(AU70&lt;&gt;"Yes","***",SUM(AY71:AY80))</f>
        <v>***</v>
      </c>
      <c r="AZ81" s="86" t="str">
        <f>IF(AU70&lt;&gt;"Yes","***",SUM(AZ71:AZ80))</f>
        <v>***</v>
      </c>
    </row>
    <row r="82" spans="12:52" ht="11.25">
      <c r="L82" s="221"/>
      <c r="M82" s="221"/>
      <c r="N82" s="221"/>
      <c r="O82" s="237">
        <f>O81/O79</f>
        <v>33000.88692344749</v>
      </c>
      <c r="P82" s="237"/>
      <c r="Q82" s="238"/>
      <c r="R82" s="243">
        <f>R81/S79</f>
        <v>33000.88692344749</v>
      </c>
      <c r="S82" s="237"/>
      <c r="T82" s="237"/>
      <c r="U82" s="39" t="s">
        <v>125</v>
      </c>
      <c r="V82" s="9"/>
      <c r="W82" s="13" t="str">
        <f>AP44</f>
        <v>M. Weight</v>
      </c>
      <c r="X82" s="145">
        <f>IF(W70&lt;&gt;"Yes","***",gmconv(W71,W72,W73,W74,W75,W76,W77,W78,W79,W80,X71,X72,X73,X74,X75,X76,X77,X78,X79,X80,X70,-1))</f>
        <v>28.821418401277167</v>
      </c>
      <c r="Y82" s="146">
        <f>IF(W70&lt;&gt;"Yes","***",gmconv(W71,W72,W73,W74,W75,W76,W77,W78,W79,W80,Y71,Y72,Y73,Y74,Y75,Y76,Y77,Y78,Y79,Y80,X70,-1))</f>
        <v>28.821418401277167</v>
      </c>
      <c r="Z82" s="146">
        <f>IF(W70&lt;&gt;"Yes","***",gmconv(W71,W72,W73,W74,W75,W76,W77,W78,W79,W80,Z71,Z72,Z73,Z74,Z75,Z76,Z77,Z78,Z79,Z80,X70,-1))</f>
        <v>28.821418401277167</v>
      </c>
      <c r="AA82" s="9"/>
      <c r="AE82" s="221"/>
      <c r="AF82" s="221"/>
      <c r="AG82" s="221"/>
      <c r="AH82" s="237">
        <f>AH81/AH79</f>
        <v>8000</v>
      </c>
      <c r="AI82" s="237"/>
      <c r="AJ82" s="238"/>
      <c r="AK82" s="243">
        <f>AK81/AL79</f>
        <v>8000</v>
      </c>
      <c r="AL82" s="237"/>
      <c r="AM82" s="237"/>
      <c r="AN82" s="39" t="s">
        <v>125</v>
      </c>
      <c r="AO82" s="9"/>
      <c r="AP82" s="13" t="str">
        <f>AU82</f>
        <v>M. Weight</v>
      </c>
      <c r="AQ82" s="88">
        <f>IF(AP70&lt;&gt;"Yes","***",gmconv(AP71,AP72,AP73,AP74,AP75,AP76,AP77,AP78,AP79,AP80,AQ71,AQ72,AQ73,AQ74,AQ75,AQ76,AQ77,AQ78,AQ79,AQ80,AQ70,-1))</f>
        <v>28.902522199638835</v>
      </c>
      <c r="AR82" s="89">
        <f>IF(AP70&lt;&gt;"Yes","***",gmconv(AP71,AP72,AP73,AP74,AP75,AP76,AP77,AP78,AP79,AP80,AR71,AR72,AR73,AR74,AR75,AR76,AR77,AR78,AR79,AR80,AQ70,-1))</f>
        <v>28.902522199638835</v>
      </c>
      <c r="AS82" s="89">
        <f>IF(AP70&lt;&gt;"Yes","***",gmconv(AP71,AP72,AP73,AP74,AP75,AP76,AP77,AP78,AP79,AP80,AS71,AS72,AS73,AS74,AS75,AS76,AS77,AS78,AS79,AS80,AQ70,-1))</f>
        <v>28.902522199638835</v>
      </c>
      <c r="AT82" s="9"/>
      <c r="AU82" s="13" t="s">
        <v>91</v>
      </c>
      <c r="AV82" s="13"/>
      <c r="AW82" s="240" t="str">
        <f>IF(AU70&lt;&gt;"Yes","***",gmconv(AU71,AU72,AU73,AU74,AU75,AU76,AU77,AU78,AU79,AU80,AW71,AW72,AW73,AW74,AW75,AW76,AW77,AW78,AW79,AW80,AW70,-1))</f>
        <v>***</v>
      </c>
      <c r="AX82" s="240"/>
      <c r="AY82" s="13"/>
      <c r="AZ82" s="90"/>
    </row>
    <row r="83" spans="12:52" ht="11.25">
      <c r="L83" s="45" t="s">
        <v>136</v>
      </c>
      <c r="M83" s="45"/>
      <c r="N83" s="45"/>
      <c r="O83" s="229">
        <f>gmprop(O74,U74,Q75,U75,W71,W72,W73,W74,W75,W76,W77,W78,W79,W80,Y71,Y72,Y73,Y74,Y75,Y76,Y77,Y78,Y79,Y80,X70,3)</f>
        <v>4.748155966806827</v>
      </c>
      <c r="P83" s="229"/>
      <c r="Q83" s="230"/>
      <c r="R83" s="232">
        <f>gmprop(R74,U74,T76,U75,W71,W72,W73,W74,W75,W76,W77,W78,W79,W80,Z71,Z72,Z73,Z74,Z75,Z76,Z77,Z78,Z79,Z80,X70,3)</f>
        <v>4.748155966806827</v>
      </c>
      <c r="S83" s="229"/>
      <c r="T83" s="229"/>
      <c r="U83" s="9" t="s">
        <v>126</v>
      </c>
      <c r="V83" s="9"/>
      <c r="W83" s="15" t="str">
        <f>AP45</f>
        <v>Density</v>
      </c>
      <c r="X83" s="147">
        <f>IF(W70&lt;&gt;"Yes","***",gmconv(W71,W72,W73,W74,W75,W76,W77,W78,W79,W80,X71,X72,X73,X74,X75,X76,X77,X78,X79,X80,X70,-2))</f>
        <v>1.2858765503832752</v>
      </c>
      <c r="Y83" s="148">
        <f>IF(W70&lt;&gt;"Yes","***",gmconv(W71,W72,W73,W74,W75,W76,W77,W78,W79,W80,Y71,Y72,Y73,Y74,Y75,Y76,Y77,Y78,Y79,Y80,X70,-2))</f>
        <v>1.2858765503832752</v>
      </c>
      <c r="Z83" s="148">
        <f>IF(W70&lt;&gt;"Yes","***",gmconv(W71,W72,W73,W74,W75,W76,W77,W78,W79,W80,Z71,Z72,Z73,Z74,Z75,Z76,Z77,Z78,Z79,Z80,X70,-2))</f>
        <v>1.2858765503832752</v>
      </c>
      <c r="AA83" s="9" t="str">
        <f>AT45</f>
        <v>kg/Nm3</v>
      </c>
      <c r="AE83" s="45" t="s">
        <v>136</v>
      </c>
      <c r="AF83" s="45"/>
      <c r="AG83" s="45"/>
      <c r="AH83" s="229">
        <f>gmprop(AH74,AN74,AJ75,AN75,AP71,AP72,AP73,AP74,AP75,AP76,AP77,AP78,AP79,AP80,AR71,AR72,AR73,AR74,AR75,AR76,AR77,AR78,AR79,AR80,AQ70,3)</f>
        <v>0.9635832546595486</v>
      </c>
      <c r="AI83" s="229"/>
      <c r="AJ83" s="230"/>
      <c r="AK83" s="232">
        <f>gmprop(AK74,AN74,AM76,AN75,AP71,AP72,AP73,AP74,AP75,AP76,AP77,AP78,AP79,AP80,AS71,AS72,AS73,AS74,AS75,AS76,AS77,AS78,AS79,AS80,AQ70,3)</f>
        <v>0.9635832546595486</v>
      </c>
      <c r="AL83" s="229"/>
      <c r="AM83" s="229"/>
      <c r="AN83" s="9" t="s">
        <v>126</v>
      </c>
      <c r="AO83" s="9"/>
      <c r="AP83" s="15" t="str">
        <f>AU83</f>
        <v>Density</v>
      </c>
      <c r="AQ83" s="91">
        <f>IF(AP70&lt;&gt;"Yes","***",gmconv(AP71,AP72,AP73,AP74,AP75,AP76,AP77,AP78,AP79,AP80,AQ71,AQ72,AQ73,AQ74,AQ75,AQ76,AQ77,AQ78,AQ79,AQ80,AQ70,-2))</f>
        <v>1.2894950215843894</v>
      </c>
      <c r="AR83" s="92">
        <f>IF(AP70&lt;&gt;"Yes","***",gmconv(AP71,AP72,AP73,AP74,AP75,AP76,AP77,AP78,AP79,AP80,AR71,AR72,AR73,AR74,AR75,AR76,AR77,AR78,AR79,AR80,AQ70,-2))</f>
        <v>1.2894950215843894</v>
      </c>
      <c r="AS83" s="92">
        <f>IF(AP70&lt;&gt;"Yes","***",gmconv(AP71,AP72,AP73,AP74,AP75,AP76,AP77,AP78,AP79,AP80,AS71,AS72,AS73,AS74,AS75,AS76,AS77,AS78,AS79,AS80,AQ70,-2))</f>
        <v>1.2894950215843894</v>
      </c>
      <c r="AT83" s="9" t="str">
        <f>AY83</f>
        <v>kg/Nm3</v>
      </c>
      <c r="AU83" s="15" t="s">
        <v>92</v>
      </c>
      <c r="AV83" s="15"/>
      <c r="AW83" s="229" t="str">
        <f>IF(AU70&lt;&gt;"Yes","***",gmconv(AU71,AU72,AU73,AU74,AU75,AU76,AU77,AU78,AU79,AU80,AW71,AW72,AW73,AW74,AW75,AW76,AW77,AW78,AW79,AW80,AW70,-2))</f>
        <v>***</v>
      </c>
      <c r="AX83" s="229"/>
      <c r="AY83" s="15" t="s">
        <v>93</v>
      </c>
      <c r="AZ83" s="79"/>
    </row>
    <row r="84" spans="12:52" ht="11.25">
      <c r="L84" s="224" t="s">
        <v>137</v>
      </c>
      <c r="M84" s="224"/>
      <c r="N84" s="45" t="s">
        <v>122</v>
      </c>
      <c r="O84" s="229">
        <f>gmprop(O74,U74,Q75,U75,W71,W72,W73,W74,W75,W76,W77,W78,W79,W80,Y71,Y72,Y73,Y74,Y75,Y76,Y77,Y78,Y79,Y80,X70,5)</f>
        <v>0.24193951571230973</v>
      </c>
      <c r="P84" s="230"/>
      <c r="Q84" s="232">
        <f>gmprop((O74+R74)/2,U74,(Q75+T76)/2,U75,W71,W72,W73,W74,W75,W76,W77,W78,W79,W80,Y71,Y72,Y73,Y74,Y75,Y76,Y77,Y78,Y79,Y80,X70,5)</f>
        <v>0.24193951571230973</v>
      </c>
      <c r="R84" s="230"/>
      <c r="S84" s="232">
        <f>gmprop(R74,U74,T76,U75,W71,W72,W73,W74,W75,W76,W77,W78,W79,W80,Z71,Z72,Z73,Z74,Z75,Z76,Z77,Z78,Z79,Z80,X70,5)</f>
        <v>0.24193951571230973</v>
      </c>
      <c r="T84" s="229"/>
      <c r="U84" s="123" t="s">
        <v>127</v>
      </c>
      <c r="V84" s="9"/>
      <c r="W84" s="7" t="str">
        <f>AP46</f>
        <v>Dew Point</v>
      </c>
      <c r="X84" s="15"/>
      <c r="Y84" s="93" t="s">
        <v>94</v>
      </c>
      <c r="Z84" s="80">
        <f>AS46</f>
        <v>3</v>
      </c>
      <c r="AA84" s="9"/>
      <c r="AE84" s="224" t="s">
        <v>137</v>
      </c>
      <c r="AF84" s="224"/>
      <c r="AG84" s="45" t="s">
        <v>122</v>
      </c>
      <c r="AH84" s="229">
        <f>gmprop(AH74,AN74,AJ75,AN75,AP71,AP72,AP73,AP74,AP75,AP76,AP77,AP78,AP79,AP80,AR71,AR72,AR73,AR74,AR75,AR76,AR77,AR78,AR79,AR80,AQ70,5)</f>
        <v>0.24090735278110129</v>
      </c>
      <c r="AI84" s="230"/>
      <c r="AJ84" s="232">
        <f>gmprop((AH74+AK74)/2,AN74,(AJ75+AM76)/2,AN75,AP71,AP72,AP73,AP74,AP75,AP76,AP77,AP78,AP79,AP80,AR71,AR72,AR73,AR74,AR75,AR76,AR77,AR78,AR79,AR80,AQ70,5)</f>
        <v>0.24090735278110129</v>
      </c>
      <c r="AK84" s="230"/>
      <c r="AL84" s="232">
        <f>gmprop(AK74,AN74,AM76,AN75,AP71,AP72,AP73,AP74,AP75,AP76,AP77,AP78,AP79,AP80,AS71,AS72,AS73,AS74,AS75,AS76,AS77,AS78,AS79,AS80,AQ70,5)</f>
        <v>0.24090735278110129</v>
      </c>
      <c r="AM84" s="229"/>
      <c r="AN84" s="123" t="s">
        <v>127</v>
      </c>
      <c r="AO84" s="9"/>
      <c r="AP84" s="7" t="str">
        <f>AU84</f>
        <v>Dew Point</v>
      </c>
      <c r="AQ84" s="15"/>
      <c r="AR84" s="93" t="s">
        <v>94</v>
      </c>
      <c r="AS84" s="80">
        <f>AY84</f>
        <v>3</v>
      </c>
      <c r="AT84" s="9"/>
      <c r="AU84" s="7" t="s">
        <v>95</v>
      </c>
      <c r="AV84" s="15"/>
      <c r="AW84" s="15" t="s">
        <v>94</v>
      </c>
      <c r="AX84" s="15"/>
      <c r="AY84" s="80">
        <v>3</v>
      </c>
      <c r="AZ84" s="79"/>
    </row>
    <row r="85" spans="12:52" ht="11.25">
      <c r="L85" s="224"/>
      <c r="M85" s="224"/>
      <c r="N85" s="45" t="s">
        <v>144</v>
      </c>
      <c r="O85" s="229">
        <f>gmprop(O74,U74,Q75,U75,W71,W72,W73,W74,W75,W76,W77,W78,W79,W80,Y71,Y72,Y73,Y74,Y75,Y76,Y77,Y78,Y79,Y80,X70,4)</f>
        <v>0.2418826269387073</v>
      </c>
      <c r="P85" s="229"/>
      <c r="Q85" s="230"/>
      <c r="R85" s="232">
        <f>gmprop(R74,U74,T76,U75,W71,W72,W73,W74,W75,W76,W77,W78,W79,W80,Z71,Z72,Z73,Z74,Z75,Z76,Z77,Z78,Z79,Z80,X70,4)</f>
        <v>0.2418826269387073</v>
      </c>
      <c r="S85" s="229"/>
      <c r="T85" s="229"/>
      <c r="U85" s="123" t="str">
        <f>U84</f>
        <v>kcal/kg.℃</v>
      </c>
      <c r="V85" s="9"/>
      <c r="W85" s="9"/>
      <c r="X85" s="15" t="str">
        <f>AQ47</f>
        <v>Water</v>
      </c>
      <c r="Y85" s="92">
        <f>IF(W70&lt;&gt;"Yes","***",tempconv(dewpoint(O74,U74,Q75,U75,Z84,W71,W72,W73,W74,W75,W76,W77,W78,W79,W80,Y71,Y72,Y73,Y74,Y75,Y76,Y77,Y78,Y79,Y80,AD70,1),"℃",AA85))</f>
        <v>11.154678888293859</v>
      </c>
      <c r="Z85" s="92">
        <f>IF(W70&lt;&gt;"Yes","***",tempconv(dewpoint(R74,U74,T76,U75,Z84,W71,W72,W73,W74,W75,W76,W77,W78,W79,W80,Z71,Z72,Z73,Z74,Z75,Z76,Z77,Z78,Z79,Z80,AD70,1),"℃",AA85))</f>
        <v>11.154678888293859</v>
      </c>
      <c r="AA85" s="9" t="str">
        <f>AT47</f>
        <v>℃</v>
      </c>
      <c r="AE85" s="224"/>
      <c r="AF85" s="224"/>
      <c r="AG85" s="45" t="s">
        <v>144</v>
      </c>
      <c r="AH85" s="229">
        <f>gmprop(AH74,AN74,AJ75,AN75,AP71,AP72,AP73,AP74,AP75,AP76,AP77,AP78,AP79,AP80,AR71,AR72,AR73,AR74,AR75,AR76,AR77,AR78,AR79,AR80,AQ70,4)</f>
        <v>0.24089581366488716</v>
      </c>
      <c r="AI85" s="229"/>
      <c r="AJ85" s="230"/>
      <c r="AK85" s="232">
        <f>gmprop(AK74,AN74,AM76,AN75,AP71,AP72,AP73,AP74,AP75,AP76,AP77,AP78,AP79,AP80,AS71,AS72,AS73,AS74,AS75,AS76,AS77,AS78,AS79,AS80,AQ70,4)</f>
        <v>0.24089581366488716</v>
      </c>
      <c r="AL85" s="229"/>
      <c r="AM85" s="229"/>
      <c r="AN85" s="123" t="str">
        <f>AN84</f>
        <v>kcal/kg.℃</v>
      </c>
      <c r="AO85" s="9"/>
      <c r="AP85" s="9"/>
      <c r="AQ85" s="15" t="str">
        <f>AV85</f>
        <v>Water</v>
      </c>
      <c r="AR85" s="92" t="str">
        <f>IF(AP70&lt;&gt;"Yes","***",tempconv(dewpoint(AH74,AN74,AJ75,AN75,AS84,AP71,AP72,AP73,AP74,AP75,AP76,AP77,AP78,AP79,AP80,AR71,AR72,AR73,AR74,AR75,AR76,AR77,AR78,AR79,AR80,AW70,1),"℃",AT85))</f>
        <v>- N/A -</v>
      </c>
      <c r="AS85" s="92" t="str">
        <f>IF(AP70&lt;&gt;"Yes","***",tempconv(dewpoint(AK74,AN74,AM76,AN75,AS84,AP71,AP72,AP73,AP74,AP75,AP76,AP77,AP78,AP79,AP80,AS71,AS72,AS73,AS74,AS75,AS76,AS77,AS78,AS79,AS80,AW70,1),"℃",AT85))</f>
        <v>- N/A -</v>
      </c>
      <c r="AT85" s="9" t="str">
        <f>AY85</f>
        <v>℃</v>
      </c>
      <c r="AU85" s="9"/>
      <c r="AV85" s="15" t="s">
        <v>96</v>
      </c>
      <c r="AW85" s="239" t="str">
        <f>IF(AU70&lt;&gt;"Yes","***",tempconv(dewpoint(AH74,AN74,AJ75,AN75,AY84,AU71,AU72,AU73,AU74,AU75,AU76,AU77,AU78,AU79,AU80,AW71,AW72,AW73,AW74,AW75,AW76,AW77,AW78,AW79,AW80,AW70,1),"℃",AY85))</f>
        <v>***</v>
      </c>
      <c r="AX85" s="239"/>
      <c r="AY85" s="94" t="s">
        <v>97</v>
      </c>
      <c r="AZ85" s="79"/>
    </row>
    <row r="86" spans="12:52" ht="11.25">
      <c r="L86" s="61" t="s">
        <v>198</v>
      </c>
      <c r="M86" s="61"/>
      <c r="N86" s="61"/>
      <c r="O86" s="257">
        <f>O81*O83</f>
        <v>187979.14202500883</v>
      </c>
      <c r="P86" s="257"/>
      <c r="Q86" s="257"/>
      <c r="R86" s="257">
        <f>R81*R83</f>
        <v>187979.14202500883</v>
      </c>
      <c r="S86" s="257"/>
      <c r="T86" s="257"/>
      <c r="U86" s="9" t="s">
        <v>128</v>
      </c>
      <c r="V86" s="9"/>
      <c r="W86" s="18"/>
      <c r="X86" s="61" t="str">
        <f>AQ48</f>
        <v>Sulfuric</v>
      </c>
      <c r="Y86" s="95">
        <f>IF(W70&lt;&gt;"Yes","***",tempconv(dewpoint(O74,U74,Q75,U75,Z84,W71,W72,W73,W74,W75,W76,W77,W78,W79,W80,Y71,Y72,Y73,Y74,Y75,Y76,Y77,Y78,Y79,Y80,AD70,2),"℃",AA86))</f>
        <v>0</v>
      </c>
      <c r="Z86" s="95">
        <f>IF(W70&lt;&gt;"Yes","***",tempconv(dewpoint(R74,U74,T76,U75,Z84,W71,W72,W73,W74,W75,W76,W77,W78,W79,W80,Z71,Z72,Z73,Z74,Z75,Z76,Z77,Z78,Z79,Z80,AD70,2),"℃",AA86))</f>
        <v>0</v>
      </c>
      <c r="AA86" s="9" t="str">
        <f>AA85</f>
        <v>℃</v>
      </c>
      <c r="AE86" s="61" t="s">
        <v>198</v>
      </c>
      <c r="AF86" s="61"/>
      <c r="AG86" s="61"/>
      <c r="AH86" s="257">
        <f>AH81*AH83</f>
        <v>9796.82212339789</v>
      </c>
      <c r="AI86" s="257"/>
      <c r="AJ86" s="257"/>
      <c r="AK86" s="279">
        <f>AK81*AK83</f>
        <v>9796.82212339789</v>
      </c>
      <c r="AL86" s="257"/>
      <c r="AM86" s="257"/>
      <c r="AN86" s="9" t="s">
        <v>128</v>
      </c>
      <c r="AO86" s="9"/>
      <c r="AP86" s="18"/>
      <c r="AQ86" s="61" t="str">
        <f>AV86</f>
        <v>Sulfuric</v>
      </c>
      <c r="AR86" s="95">
        <f>IF(AP70&lt;&gt;"Yes","***",tempconv(dewpoint(AH74,AN74,AJ75,AN75,AS84,AP71,AP72,AP73,AP74,AP75,AP76,AP77,AP78,AP79,AP80,AR71,AR72,AR73,AR74,AR75,AR76,AR77,AR78,AR79,AR80,AW70,2),"℃",AT86))</f>
        <v>0</v>
      </c>
      <c r="AS86" s="95">
        <f>IF(AP70&lt;&gt;"Yes","***",tempconv(dewpoint(AK74,AN74,AM76,AN75,AS84,AP71,AP72,AP73,AP74,AP75,AP76,AP77,AP78,AP79,AP80,AS71,AS72,AS73,AS74,AS75,AS76,AS77,AS78,AS79,AS80,AW70,2),"℃",AT86))</f>
        <v>0</v>
      </c>
      <c r="AT86" s="9" t="str">
        <f>AT85</f>
        <v>℃</v>
      </c>
      <c r="AU86" s="18"/>
      <c r="AV86" s="61" t="s">
        <v>98</v>
      </c>
      <c r="AW86" s="216" t="str">
        <f>IF(AU70&lt;&gt;"Yes","***",tempconv(dewpoint(AH74,AN74,AJ75,AN75,AY84,AU71,AU72,AU73,AU74,AU75,AU76,AU77,AU78,AU79,AU80,AW71,AW72,AW73,AW74,AW75,AW76,AW77,AW78,AW79,AW80,AW70,2),"℃",AY86))</f>
        <v>***</v>
      </c>
      <c r="AX86" s="216"/>
      <c r="AY86" s="61" t="str">
        <f>AY85</f>
        <v>℃</v>
      </c>
      <c r="AZ86" s="96"/>
    </row>
    <row r="87" spans="12:42" ht="11.25">
      <c r="L87" s="244" t="s">
        <v>154</v>
      </c>
      <c r="M87" s="244"/>
      <c r="N87" s="244"/>
      <c r="O87" s="244"/>
      <c r="P87" s="244"/>
      <c r="Q87" s="244"/>
      <c r="R87" s="244"/>
      <c r="S87" s="244"/>
      <c r="T87" s="244"/>
      <c r="U87" s="9"/>
      <c r="V87" s="9"/>
      <c r="W87" s="97" t="s">
        <v>118</v>
      </c>
      <c r="AE87" s="244" t="s">
        <v>154</v>
      </c>
      <c r="AF87" s="244"/>
      <c r="AG87" s="244"/>
      <c r="AH87" s="244"/>
      <c r="AI87" s="244"/>
      <c r="AJ87" s="244"/>
      <c r="AK87" s="244"/>
      <c r="AL87" s="244"/>
      <c r="AM87" s="244"/>
      <c r="AN87" s="9"/>
      <c r="AO87" s="9"/>
      <c r="AP87" s="97" t="s">
        <v>118</v>
      </c>
    </row>
    <row r="88" spans="12:52" ht="11.25">
      <c r="L88" s="104" t="s">
        <v>223</v>
      </c>
      <c r="M88" s="13"/>
      <c r="N88" s="13"/>
      <c r="O88" s="233">
        <f>gmprop(O74,U74,Q75,U75,W71,W72,W73,W74,W75,W76,W77,W78,W79,W80,Y71,Y72,Y73,Y74,Y75,Y76,Y77,Y78,Y79,Y80,X70,-3)</f>
        <v>58.02409478249735</v>
      </c>
      <c r="P88" s="233"/>
      <c r="Q88" s="233"/>
      <c r="R88" s="234"/>
      <c r="S88" s="233"/>
      <c r="T88" s="233"/>
      <c r="U88" s="1" t="s">
        <v>225</v>
      </c>
      <c r="W88" s="71" t="s">
        <v>202</v>
      </c>
      <c r="X88" s="71"/>
      <c r="Y88" s="120">
        <f>IF(W70&lt;&gt;"Yes","***",gmcond(O74,U74,Q75,U75,W71,W72,W73,W74,W75,W76,W77,W78,W79,W80,X71,X72,X73,X74,X75,X76,X77,X78,X79,X80,X70,-113))</f>
        <v>0</v>
      </c>
      <c r="Z88" s="120">
        <f>IF(W70&lt;&gt;"Yes","***",gmcond(R74,U74,T76,U75,W71,W72,W73,W74,W75,W76,W77,W78,W79,W80,X71,X72,X73,X74,X75,X76,X77,X78,X79,X80,X70,-113))</f>
        <v>0</v>
      </c>
      <c r="AA88" s="9"/>
      <c r="AE88" s="104" t="s">
        <v>223</v>
      </c>
      <c r="AF88" s="13"/>
      <c r="AG88" s="13"/>
      <c r="AH88" s="233">
        <f>gmprop(AH74,AN74,AJ75,AN75,AP71,AP72,AP73,AP74,AP75,AP76,AP77,AP78,AP79,AP80,AR71,AR72,AR73,AR74,AR75,AR76,AR77,AR78,AR79,AR80,AQ70,-3)</f>
        <v>70.80000000000001</v>
      </c>
      <c r="AI88" s="233"/>
      <c r="AJ88" s="233"/>
      <c r="AK88" s="234"/>
      <c r="AL88" s="233"/>
      <c r="AM88" s="233"/>
      <c r="AN88" s="9" t="s">
        <v>225</v>
      </c>
      <c r="AP88" s="71" t="s">
        <v>202</v>
      </c>
      <c r="AQ88" s="71"/>
      <c r="AR88" s="120">
        <f>IF(AP70&lt;&gt;"Yes","***",gmcond(AH74,AN74,AJ75,AN75,AP71,AP72,AP73,AP74,AP75,AP76,AP77,AP78,AP79,AP80,AQ71,AQ72,AQ73,AQ74,AQ75,AQ76,AQ77,AQ78,AQ79,AQ80,AQ70,-113))</f>
        <v>0</v>
      </c>
      <c r="AS88" s="120">
        <f>IF(AP70&lt;&gt;"Yes","***",gmcond(AK74,AN74,AM76,AN75,AP71,AP72,AP73,AP74,AP75,AP76,AP77,AP78,AP79,AP80,AQ71,AQ72,AQ73,AQ74,AQ75,AQ76,AQ77,AQ78,AQ79,AQ80,AQ70,-113))</f>
        <v>0</v>
      </c>
      <c r="AT88" s="9"/>
      <c r="AU88" s="9"/>
      <c r="AV88" s="9"/>
      <c r="AW88" s="220" t="s">
        <v>102</v>
      </c>
      <c r="AX88" s="220"/>
      <c r="AY88" s="9"/>
      <c r="AZ88" s="9"/>
    </row>
    <row r="89" spans="12:52" ht="11.25">
      <c r="L89" s="163" t="s">
        <v>155</v>
      </c>
      <c r="M89" s="71"/>
      <c r="N89" s="71"/>
      <c r="O89" s="263">
        <f>gmprop(O74,U74,Q75,U75,W71,W72,W73,W74,W75,W76,W77,W78,W79,W80,Y71,Y72,Y73,Y74,Y75,Y76,Y77,Y78,Y79,Y80,X70,99)</f>
        <v>0.00818310129358446</v>
      </c>
      <c r="P89" s="263"/>
      <c r="Q89" s="264"/>
      <c r="R89" s="265">
        <f>gmprop(R74,U74,T76,U75,W71,W72,W73,W74,W75,W76,W77,W78,W79,W80,Z71,Z72,Z73,Z74,Z75,Z76,Z77,Z78,Z79,Z80,X70,99)</f>
        <v>0.00818310129358446</v>
      </c>
      <c r="S89" s="263"/>
      <c r="T89" s="263"/>
      <c r="U89" s="128" t="s">
        <v>158</v>
      </c>
      <c r="W89" s="61" t="s">
        <v>99</v>
      </c>
      <c r="X89" s="61"/>
      <c r="Y89" s="98">
        <f>IF(W70&lt;&gt;"Yes","***",Y88*O70*IF(R70="kg/h",1,IF(R70="m3/h",1*O79,IF(R70="Nm3/h",1*O80))))</f>
        <v>0</v>
      </c>
      <c r="Z89" s="98">
        <f>IF(W70&lt;&gt;"Yes","***",Z88*O70*IF(R70="kg/h",1,IF(R70="m3/h",1*O79,IF(R70="Nm3/h",1*O80))))</f>
        <v>0</v>
      </c>
      <c r="AA89" s="1" t="s">
        <v>100</v>
      </c>
      <c r="AE89" s="163" t="s">
        <v>155</v>
      </c>
      <c r="AF89" s="71"/>
      <c r="AG89" s="71"/>
      <c r="AH89" s="263">
        <f>gmprop(AH74,AN74,AJ75,AN75,AP71,AP72,AP73,AP74,AP75,AP76,AP77,AP78,AP79,AP80,AR71,AR72,AR73,AR74,AR75,AR76,AR77,AR78,AR79,AR80,AQ70,99)</f>
        <v>0.003543268805315901</v>
      </c>
      <c r="AI89" s="263"/>
      <c r="AJ89" s="264"/>
      <c r="AK89" s="265">
        <f>gmprop(AK74,AN74,AM76,AN75,AP71,AP72,AP73,AP74,AP75,AP76,AP77,AP78,AP79,AP80,AS71,AS72,AS73,AS74,AS75,AS76,AS77,AS78,AS79,AS80,AQ70,99)</f>
        <v>0.003543268805315901</v>
      </c>
      <c r="AL89" s="263"/>
      <c r="AM89" s="263"/>
      <c r="AN89" s="128" t="s">
        <v>158</v>
      </c>
      <c r="AP89" s="61" t="s">
        <v>99</v>
      </c>
      <c r="AQ89" s="61"/>
      <c r="AR89" s="98">
        <f>IF(AP70&lt;&gt;"Yes","***",AR88*AH70*IF(AK70="kg/h",1,IF(AK70="m3/h",1*AH79,IF(AK70="Nm3/h",1*AH80))))</f>
        <v>0</v>
      </c>
      <c r="AS89" s="98">
        <f>IF(AP70&lt;&gt;"Yes","***",AS88*AH70*IF(AK70="kg/h",1,IF(AK70="m3/h",1*AH79,IF(AK70="Nm3/h",1*AH80))))</f>
        <v>0</v>
      </c>
      <c r="AT89" s="1" t="s">
        <v>100</v>
      </c>
      <c r="AU89" s="115" t="s">
        <v>101</v>
      </c>
      <c r="AV89" s="99"/>
      <c r="AW89" s="290" t="str">
        <f>AW51</f>
        <v>Yes</v>
      </c>
      <c r="AX89" s="290"/>
      <c r="AY89" s="18"/>
      <c r="AZ89" s="18"/>
    </row>
    <row r="90" spans="12:52" ht="11.25">
      <c r="L90" s="81" t="s">
        <v>156</v>
      </c>
      <c r="M90" s="15"/>
      <c r="N90" s="15"/>
      <c r="O90" s="266">
        <f>gmprop(O74,U74,Q75,U75,W71,W72,W73,W74,W75,W76,W77,W78,W79,W80,Y71,Y72,Y73,Y74,Y75,Y76,Y77,Y78,Y79,Y80,X70,100)</f>
        <v>0.008250616927637884</v>
      </c>
      <c r="P90" s="266"/>
      <c r="Q90" s="267"/>
      <c r="R90" s="268">
        <f>gmprop(R74,U74,T76,U75,W71,W72,W73,W74,W75,W76,W77,W78,W79,W80,Z71,Z72,Z73,Z74,Z75,Z76,Z77,Z78,Z79,Z80,X70,100)</f>
        <v>0.008250616927637884</v>
      </c>
      <c r="S90" s="266"/>
      <c r="T90" s="266"/>
      <c r="U90" s="128" t="s">
        <v>159</v>
      </c>
      <c r="Z90" s="9"/>
      <c r="AE90" s="81" t="s">
        <v>156</v>
      </c>
      <c r="AF90" s="15"/>
      <c r="AG90" s="15"/>
      <c r="AH90" s="266">
        <f>gmprop(AH74,AN74,AJ75,AN75,AP71,AP72,AP73,AP74,AP75,AP76,AP77,AP78,AP79,AP80,AR71,AR72,AR73,AR74,AR75,AR76,AR77,AR78,AR79,AR80,AQ70,100)</f>
        <v>0.003555868202192544</v>
      </c>
      <c r="AI90" s="266"/>
      <c r="AJ90" s="267"/>
      <c r="AK90" s="268">
        <f>gmprop(AK74,AN74,AM76,AN75,AP71,AP72,AP73,AP74,AP75,AP76,AP77,AP78,AP79,AP80,AS71,AS72,AS73,AS74,AS75,AS76,AS77,AS78,AS79,AS80,AQ70,100)</f>
        <v>0.003555868202192544</v>
      </c>
      <c r="AL90" s="266"/>
      <c r="AM90" s="266"/>
      <c r="AN90" s="128" t="s">
        <v>159</v>
      </c>
      <c r="AS90" s="9"/>
      <c r="AU90" s="13" t="s">
        <v>103</v>
      </c>
      <c r="AV90" s="13"/>
      <c r="AW90" s="218">
        <v>4</v>
      </c>
      <c r="AX90" s="218"/>
      <c r="AY90" s="135" t="str">
        <f>AY52</f>
        <v>℃</v>
      </c>
      <c r="AZ90" s="13"/>
    </row>
    <row r="91" spans="12:52" ht="11.25">
      <c r="L91" s="81" t="s">
        <v>189</v>
      </c>
      <c r="M91" s="15"/>
      <c r="N91" s="15"/>
      <c r="O91" s="229">
        <f>gmprop(O74,U74,Q75,U75,W71,W72,W73,W74,W75,W76,W77,W78,W79,W80,Y71,Y72,Y73,Y74,Y75,Y76,Y77,Y78,Y79,Y80,X70,102)</f>
        <v>1.1898455164879065</v>
      </c>
      <c r="P91" s="229"/>
      <c r="Q91" s="230"/>
      <c r="R91" s="232">
        <f>gmprop(R74,U74,T76,U75,W71,W72,W73,W74,W75,W76,W77,W78,W79,W80,Z71,Z72,Z73,Z74,Z75,Z76,Z77,Z78,Z79,Z80,X70,102)</f>
        <v>1.1898455164879065</v>
      </c>
      <c r="S91" s="229"/>
      <c r="T91" s="229"/>
      <c r="U91" s="128" t="s">
        <v>191</v>
      </c>
      <c r="Z91" s="9"/>
      <c r="AE91" s="81" t="s">
        <v>189</v>
      </c>
      <c r="AF91" s="15"/>
      <c r="AG91" s="15"/>
      <c r="AH91" s="229">
        <f>gmprop(AH74,AN74,AJ75,AN75,AP71,AP72,AP73,AP74,AP75,AP76,AP77,AP78,AP79,AP80,AR71,AR72,AR73,AR74,AR75,AR76,AR77,AR78,AR79,AR80,AQ70,102)</f>
        <v>1.2663811484335565</v>
      </c>
      <c r="AI91" s="229"/>
      <c r="AJ91" s="230"/>
      <c r="AK91" s="232">
        <f>gmprop(AK74,AN74,AM76,AN75,AP71,AP72,AP73,AP74,AP75,AP76,AP77,AP78,AP79,AP80,AS71,AS72,AS73,AS74,AS75,AS76,AS77,AS78,AS79,AS80,AQ70,102)</f>
        <v>1.2663811484335565</v>
      </c>
      <c r="AL91" s="229"/>
      <c r="AM91" s="229"/>
      <c r="AN91" s="128" t="s">
        <v>191</v>
      </c>
      <c r="AS91" s="9"/>
      <c r="AU91" s="15" t="s">
        <v>104</v>
      </c>
      <c r="AV91" s="15"/>
      <c r="AW91" s="219">
        <v>0</v>
      </c>
      <c r="AX91" s="219"/>
      <c r="AY91" s="133" t="str">
        <f>AY53</f>
        <v>kg/cm2.g</v>
      </c>
      <c r="AZ91" s="15"/>
    </row>
    <row r="92" spans="8:52" ht="11.25">
      <c r="H92" s="276">
        <f>AH55+AH93</f>
        <v>39265.95734598838</v>
      </c>
      <c r="I92" s="276"/>
      <c r="J92" s="276"/>
      <c r="K92" s="150" t="s">
        <v>197</v>
      </c>
      <c r="L92" s="81" t="s">
        <v>190</v>
      </c>
      <c r="M92" s="15"/>
      <c r="N92" s="15"/>
      <c r="O92" s="229">
        <f>gmprop(O74,U74,Q75,U75,W71,W72,W73,W74,W75,W76,W77,W78,W79,W80,Y71,Y72,Y73,Y74,Y75,Y76,Y77,Y78,Y79,Y80,X70,101)</f>
        <v>0.8404452394389167</v>
      </c>
      <c r="P92" s="229"/>
      <c r="Q92" s="230"/>
      <c r="R92" s="232">
        <f>gmprop(R74,U74,T76,U75,W71,W72,W73,W74,W75,W76,W77,W78,W79,W80,Z71,Z72,Z73,Z74,Z75,Z76,Z77,Z78,Z79,Z80,X70,101)</f>
        <v>0.8404452394389167</v>
      </c>
      <c r="S92" s="229"/>
      <c r="T92" s="229"/>
      <c r="U92" s="128" t="s">
        <v>192</v>
      </c>
      <c r="Z92" s="9"/>
      <c r="AE92" s="81" t="s">
        <v>190</v>
      </c>
      <c r="AF92" s="15"/>
      <c r="AG92" s="15"/>
      <c r="AH92" s="229">
        <f>gmprop(AH74,AN74,AJ75,AN75,AP71,AP72,AP73,AP74,AP75,AP76,AP77,AP78,AP79,AP80,AR71,AR72,AR73,AR74,AR75,AR76,AR77,AR78,AR79,AR80,AQ70,101)</f>
        <v>0.78965167890958</v>
      </c>
      <c r="AI92" s="229"/>
      <c r="AJ92" s="230"/>
      <c r="AK92" s="232">
        <f>gmprop(AK74,AN74,AM76,AN75,AP71,AP72,AP73,AP74,AP75,AP76,AP77,AP78,AP79,AP80,AS71,AS72,AS73,AS74,AS75,AS76,AS77,AS78,AS79,AS80,AQ70,101)</f>
        <v>0.78965167890958</v>
      </c>
      <c r="AL92" s="229"/>
      <c r="AM92" s="229"/>
      <c r="AN92" s="128" t="s">
        <v>192</v>
      </c>
      <c r="AS92" s="9"/>
      <c r="AU92" s="15" t="s">
        <v>105</v>
      </c>
      <c r="AV92" s="15"/>
      <c r="AW92" s="219">
        <v>70.8</v>
      </c>
      <c r="AX92" s="219"/>
      <c r="AY92" s="15" t="s">
        <v>106</v>
      </c>
      <c r="AZ92" s="149" t="s">
        <v>195</v>
      </c>
    </row>
    <row r="93" spans="12:52" ht="11.25">
      <c r="L93" s="81" t="s">
        <v>165</v>
      </c>
      <c r="M93" s="15"/>
      <c r="N93" s="15"/>
      <c r="O93" s="235">
        <f>O82/O92</f>
        <v>39265.957345988376</v>
      </c>
      <c r="P93" s="235"/>
      <c r="Q93" s="236"/>
      <c r="R93" s="243">
        <f>R82/R92</f>
        <v>39265.957345988376</v>
      </c>
      <c r="S93" s="237"/>
      <c r="T93" s="237"/>
      <c r="U93" s="129" t="s">
        <v>161</v>
      </c>
      <c r="Z93" s="9"/>
      <c r="AE93" s="81" t="s">
        <v>165</v>
      </c>
      <c r="AF93" s="15"/>
      <c r="AG93" s="15"/>
      <c r="AH93" s="235">
        <f>AH82/AH92</f>
        <v>10131.049187468452</v>
      </c>
      <c r="AI93" s="235"/>
      <c r="AJ93" s="236"/>
      <c r="AK93" s="243">
        <f>AK82/AK92</f>
        <v>10131.049187468452</v>
      </c>
      <c r="AL93" s="237"/>
      <c r="AM93" s="237"/>
      <c r="AN93" s="129" t="s">
        <v>161</v>
      </c>
      <c r="AS93" s="9"/>
      <c r="AU93" s="61" t="s">
        <v>107</v>
      </c>
      <c r="AV93" s="61"/>
      <c r="AW93" s="216" t="str">
        <f>maprop(AW90,AY90,AW92,AW91,AY91,0)</f>
        <v>- N/A -</v>
      </c>
      <c r="AX93" s="216"/>
      <c r="AY93" s="100" t="s">
        <v>108</v>
      </c>
      <c r="AZ93" s="101">
        <f>tempconv(rh_twb(AW90,AY90,AW92,0,AW91,AY91,0,1),"℃",AY93)</f>
        <v>2.004000000000002</v>
      </c>
    </row>
    <row r="94" spans="12:52" ht="11.25">
      <c r="L94" s="81" t="s">
        <v>157</v>
      </c>
      <c r="M94" s="15"/>
      <c r="N94" s="15"/>
      <c r="O94" s="229">
        <f>gmprop(O74,U74,Q75,U75,W71,W72,W73,W74,W75,W76,W77,W78,W79,W80,Y71,Y72,Y73,Y74,Y75,Y76,Y77,Y78,Y79,Y80,X70,104)</f>
        <v>4.787331182801628</v>
      </c>
      <c r="P94" s="229"/>
      <c r="Q94" s="230"/>
      <c r="R94" s="232">
        <f>gmprop(R74,U74,T76,U75,W71,W72,W73,W74,W75,W76,W77,W78,W79,W80,Z71,Z72,Z73,Z74,Z75,Z76,Z77,Z78,Z79,Z80,X70,104)</f>
        <v>4.787331182801628</v>
      </c>
      <c r="S94" s="229"/>
      <c r="T94" s="229"/>
      <c r="U94" s="128" t="s">
        <v>160</v>
      </c>
      <c r="Z94" s="9"/>
      <c r="AE94" s="81" t="s">
        <v>157</v>
      </c>
      <c r="AF94" s="15"/>
      <c r="AG94" s="15"/>
      <c r="AH94" s="229">
        <f>gmprop(AH74,AN74,AJ75,AN75,AP71,AP72,AP73,AP74,AP75,AP76,AP77,AP78,AP79,AP80,AR71,AR72,AR73,AR74,AR75,AR76,AR77,AR78,AR79,AR80,AQ70,104)</f>
        <v>0.9670096297149577</v>
      </c>
      <c r="AI94" s="229"/>
      <c r="AJ94" s="230"/>
      <c r="AK94" s="232">
        <f>gmprop(AK74,AN74,AM76,AN75,AP71,AP72,AP73,AP74,AP75,AP76,AP77,AP78,AP79,AP80,AS71,AS72,AS73,AS74,AS75,AS76,AS77,AS78,AS79,AS80,AQ70,104)</f>
        <v>0.9670096297149577</v>
      </c>
      <c r="AL94" s="229"/>
      <c r="AM94" s="229"/>
      <c r="AN94" s="128" t="s">
        <v>160</v>
      </c>
      <c r="AS94" s="9"/>
      <c r="AU94" s="65" t="s">
        <v>109</v>
      </c>
      <c r="AV94" s="65"/>
      <c r="AW94" s="102" t="s">
        <v>110</v>
      </c>
      <c r="AX94" s="103" t="s">
        <v>111</v>
      </c>
      <c r="AY94" s="85"/>
      <c r="AZ94" s="111" t="s">
        <v>117</v>
      </c>
    </row>
    <row r="95" spans="12:52" ht="11.25">
      <c r="L95" s="107" t="str">
        <f>L86</f>
        <v>Heat Capacity</v>
      </c>
      <c r="M95" s="61"/>
      <c r="N95" s="61"/>
      <c r="O95" s="257">
        <f>O93*O94</f>
        <v>187979.1420250088</v>
      </c>
      <c r="P95" s="257"/>
      <c r="Q95" s="257"/>
      <c r="R95" s="279">
        <f>R93*R94</f>
        <v>187979.1420250088</v>
      </c>
      <c r="S95" s="257"/>
      <c r="T95" s="257"/>
      <c r="U95" s="9" t="str">
        <f>U86</f>
        <v>kcal/h</v>
      </c>
      <c r="AE95" s="107" t="str">
        <f>AE86</f>
        <v>Heat Capacity</v>
      </c>
      <c r="AF95" s="61"/>
      <c r="AG95" s="61"/>
      <c r="AH95" s="257">
        <f>AH93*AH94</f>
        <v>9796.822123397891</v>
      </c>
      <c r="AI95" s="257"/>
      <c r="AJ95" s="257"/>
      <c r="AK95" s="279">
        <f>AK93*AK94</f>
        <v>9796.822123397891</v>
      </c>
      <c r="AL95" s="257"/>
      <c r="AM95" s="257"/>
      <c r="AN95" s="9" t="str">
        <f>AN86</f>
        <v>kcal/h</v>
      </c>
      <c r="AS95" s="9"/>
      <c r="AU95" s="104" t="s">
        <v>112</v>
      </c>
      <c r="AV95" s="13"/>
      <c r="AW95" s="69">
        <f>((fprop("Saturated","H2O L.P.",AW90,AY90,0,"","Yes",0,1,10)+1.033227)*AW92/100)/(pressconv(AW91,AY91,"kg/cm2.g")+1.033227)*100</f>
        <v>0.5684611067594619</v>
      </c>
      <c r="AX95" s="69">
        <f>gmconv(AU95,AU96,AU97,AU98,AU99,"","","","","",AW95,AW96,AW97,AW98,AW99,"","","","","",AW94,15)</f>
        <v>0.35432688053159006</v>
      </c>
      <c r="AY95" s="105"/>
      <c r="AZ95" s="112">
        <v>0</v>
      </c>
    </row>
    <row r="96" spans="45:52" ht="11.25">
      <c r="AS96" s="9"/>
      <c r="AU96" s="81" t="s">
        <v>113</v>
      </c>
      <c r="AV96" s="15"/>
      <c r="AW96" s="75">
        <f>(100-AW95)*AZ96/AZ100</f>
        <v>77.64245210296104</v>
      </c>
      <c r="AX96" s="75">
        <f>gmconv(AU95,AU96,AU97,AU98,AU99,"","","","","",AW95,AW96,AW97,AW98,AW99,"","","","","",AW94,25)</f>
        <v>75.2539537109418</v>
      </c>
      <c r="AY96" s="106"/>
      <c r="AZ96" s="60">
        <v>78.084</v>
      </c>
    </row>
    <row r="97" spans="40:52" ht="11.25">
      <c r="AN97" s="9"/>
      <c r="AS97" s="9"/>
      <c r="AU97" s="81" t="s">
        <v>114</v>
      </c>
      <c r="AV97" s="15"/>
      <c r="AW97" s="75">
        <f>(100-AW95)*AZ97/AZ100</f>
        <v>20.829145915577925</v>
      </c>
      <c r="AX97" s="75">
        <f>gmconv(AU95,AU96,AU97,AU98,AU99,"","","","","",AW95,AW96,AW97,AW98,AW99,"","","","","",AW94,35)</f>
        <v>23.060536714395244</v>
      </c>
      <c r="AY97" s="106"/>
      <c r="AZ97" s="60">
        <v>20.9476</v>
      </c>
    </row>
    <row r="98" spans="40:52" ht="11.25">
      <c r="AN98" s="9"/>
      <c r="AS98" s="9"/>
      <c r="AU98" s="81" t="s">
        <v>115</v>
      </c>
      <c r="AV98" s="15"/>
      <c r="AW98" s="75">
        <f>(100-AW95)*AZ98/AZ100</f>
        <v>0.9287184348159111</v>
      </c>
      <c r="AX98" s="75">
        <f>gmconv(AU95,AU96,AU97,AU98,AU99,"","","","","",AW95,AW96,AW97,AW98,AW99,"","","","","",AW94,45)</f>
        <v>1.2836403611339369</v>
      </c>
      <c r="AY98" s="106"/>
      <c r="AZ98" s="60">
        <v>0.934</v>
      </c>
    </row>
    <row r="99" spans="31:52" ht="11.25">
      <c r="AE99" s="9"/>
      <c r="AN99" s="9"/>
      <c r="AS99" s="9"/>
      <c r="AU99" s="107" t="s">
        <v>116</v>
      </c>
      <c r="AV99" s="61"/>
      <c r="AW99" s="82">
        <f>(100-AW95)*AZ99/AZ100</f>
        <v>0.031222439885674098</v>
      </c>
      <c r="AX99" s="82">
        <f>gmconv(AU95,AU96,AU97,AU98,AU99,"","","","","",AW95,AW96,AW97,AW98,AW99,"","","","","",AW94,55)</f>
        <v>0.04754233299741953</v>
      </c>
      <c r="AY99" s="108"/>
      <c r="AZ99" s="113">
        <v>0.0314</v>
      </c>
    </row>
    <row r="100" spans="31:52" ht="11.25">
      <c r="AE100" s="9"/>
      <c r="AN100" s="9"/>
      <c r="AS100" s="9"/>
      <c r="AU100" s="65" t="s">
        <v>90</v>
      </c>
      <c r="AV100" s="65"/>
      <c r="AW100" s="86">
        <f>SUM(AW95:AW99)</f>
        <v>100</v>
      </c>
      <c r="AX100" s="109">
        <f>SUM(AX95:AX99)</f>
        <v>99.99999999999999</v>
      </c>
      <c r="AY100" s="110"/>
      <c r="AZ100" s="111">
        <f>SUM(AZ95:AZ99)</f>
        <v>99.997</v>
      </c>
    </row>
    <row r="111" ht="13.5" customHeight="1"/>
    <row r="112" ht="13.5" customHeight="1"/>
  </sheetData>
  <mergeCells count="280">
    <mergeCell ref="T23:U23"/>
    <mergeCell ref="V23:W23"/>
    <mergeCell ref="V24:W24"/>
    <mergeCell ref="T24:U24"/>
    <mergeCell ref="AK53:AM53"/>
    <mergeCell ref="AH54:AJ54"/>
    <mergeCell ref="AK54:AM54"/>
    <mergeCell ref="AK55:AM55"/>
    <mergeCell ref="X1:AB1"/>
    <mergeCell ref="X2:AB2"/>
    <mergeCell ref="A2:T4"/>
    <mergeCell ref="G20:H20"/>
    <mergeCell ref="G21:H21"/>
    <mergeCell ref="G22:H22"/>
    <mergeCell ref="G23:H23"/>
    <mergeCell ref="C36:C37"/>
    <mergeCell ref="G36:G37"/>
    <mergeCell ref="K36:K37"/>
    <mergeCell ref="AH29:AM29"/>
    <mergeCell ref="AP29:AS29"/>
    <mergeCell ref="AH30:AM30"/>
    <mergeCell ref="AP30:AS30"/>
    <mergeCell ref="AH31:AJ31"/>
    <mergeCell ref="AK31:AM31"/>
    <mergeCell ref="AH33:AJ33"/>
    <mergeCell ref="AK33:AM33"/>
    <mergeCell ref="AH35:AJ35"/>
    <mergeCell ref="AU31:AZ31"/>
    <mergeCell ref="AH32:AJ32"/>
    <mergeCell ref="AQ32:AS32"/>
    <mergeCell ref="AW32:AX32"/>
    <mergeCell ref="AW33:AX33"/>
    <mergeCell ref="AH34:AJ34"/>
    <mergeCell ref="AK34:AM34"/>
    <mergeCell ref="AW34:AX34"/>
    <mergeCell ref="AK35:AM35"/>
    <mergeCell ref="AW35:AX35"/>
    <mergeCell ref="AH36:AJ36"/>
    <mergeCell ref="AK36:AM36"/>
    <mergeCell ref="AW36:AX36"/>
    <mergeCell ref="AE37:AE38"/>
    <mergeCell ref="AW37:AX37"/>
    <mergeCell ref="AW38:AX38"/>
    <mergeCell ref="AH39:AJ39"/>
    <mergeCell ref="AK39:AM39"/>
    <mergeCell ref="AW39:AX39"/>
    <mergeCell ref="AH40:AJ40"/>
    <mergeCell ref="AK40:AM40"/>
    <mergeCell ref="AW40:AX40"/>
    <mergeCell ref="AE41:AE42"/>
    <mergeCell ref="AH41:AI41"/>
    <mergeCell ref="AJ41:AK41"/>
    <mergeCell ref="AL41:AM41"/>
    <mergeCell ref="AW41:AX41"/>
    <mergeCell ref="AH42:AJ42"/>
    <mergeCell ref="AK42:AM42"/>
    <mergeCell ref="AW42:AX42"/>
    <mergeCell ref="AE43:AG44"/>
    <mergeCell ref="AH43:AJ43"/>
    <mergeCell ref="AK43:AM43"/>
    <mergeCell ref="AW43:AX43"/>
    <mergeCell ref="AH44:AJ44"/>
    <mergeCell ref="AK44:AM44"/>
    <mergeCell ref="AW44:AX44"/>
    <mergeCell ref="AH45:AJ45"/>
    <mergeCell ref="AK45:AM45"/>
    <mergeCell ref="AW45:AX45"/>
    <mergeCell ref="AE46:AF47"/>
    <mergeCell ref="AH46:AI46"/>
    <mergeCell ref="AJ46:AK46"/>
    <mergeCell ref="AL46:AM46"/>
    <mergeCell ref="AH47:AJ47"/>
    <mergeCell ref="AK47:AM47"/>
    <mergeCell ref="AW47:AX47"/>
    <mergeCell ref="AW48:AX48"/>
    <mergeCell ref="AE49:AM49"/>
    <mergeCell ref="AH51:AJ51"/>
    <mergeCell ref="AK51:AM51"/>
    <mergeCell ref="AW50:AX50"/>
    <mergeCell ref="AH48:AJ48"/>
    <mergeCell ref="AK48:AM48"/>
    <mergeCell ref="AW51:AX51"/>
    <mergeCell ref="AH50:AJ50"/>
    <mergeCell ref="AK50:AM50"/>
    <mergeCell ref="AW55:AX55"/>
    <mergeCell ref="AH57:AJ57"/>
    <mergeCell ref="AK57:AM57"/>
    <mergeCell ref="AH52:AJ52"/>
    <mergeCell ref="AK52:AM52"/>
    <mergeCell ref="AH56:AJ56"/>
    <mergeCell ref="AK56:AM56"/>
    <mergeCell ref="AW52:AX52"/>
    <mergeCell ref="AH53:AJ53"/>
    <mergeCell ref="AH55:AJ55"/>
    <mergeCell ref="AW53:AX53"/>
    <mergeCell ref="AW54:AX54"/>
    <mergeCell ref="K42:M42"/>
    <mergeCell ref="O42:Q42"/>
    <mergeCell ref="K43:M43"/>
    <mergeCell ref="K44:M44"/>
    <mergeCell ref="O44:Q44"/>
    <mergeCell ref="K45:M45"/>
    <mergeCell ref="O45:Q45"/>
    <mergeCell ref="K48:M48"/>
    <mergeCell ref="O48:Q48"/>
    <mergeCell ref="K46:M46"/>
    <mergeCell ref="O46:Q46"/>
    <mergeCell ref="K49:M49"/>
    <mergeCell ref="O49:Q49"/>
    <mergeCell ref="K53:M53"/>
    <mergeCell ref="O53:Q53"/>
    <mergeCell ref="K50:M50"/>
    <mergeCell ref="O50:Q50"/>
    <mergeCell ref="K51:M51"/>
    <mergeCell ref="O51:Q51"/>
    <mergeCell ref="AP67:AS67"/>
    <mergeCell ref="AH68:AM68"/>
    <mergeCell ref="AP68:AS68"/>
    <mergeCell ref="AH69:AJ69"/>
    <mergeCell ref="AK69:AM69"/>
    <mergeCell ref="AH67:AM67"/>
    <mergeCell ref="AU69:AZ69"/>
    <mergeCell ref="AH70:AJ70"/>
    <mergeCell ref="AQ70:AS70"/>
    <mergeCell ref="AW70:AX70"/>
    <mergeCell ref="AK71:AM71"/>
    <mergeCell ref="AW71:AX71"/>
    <mergeCell ref="AH72:AJ72"/>
    <mergeCell ref="AK72:AM72"/>
    <mergeCell ref="AW72:AX72"/>
    <mergeCell ref="AH71:AJ71"/>
    <mergeCell ref="AH73:AJ73"/>
    <mergeCell ref="AK73:AM73"/>
    <mergeCell ref="AW73:AX73"/>
    <mergeCell ref="AH74:AJ74"/>
    <mergeCell ref="AK74:AM74"/>
    <mergeCell ref="AW74:AX74"/>
    <mergeCell ref="AE75:AE76"/>
    <mergeCell ref="AW75:AX75"/>
    <mergeCell ref="AW76:AX76"/>
    <mergeCell ref="AH77:AJ77"/>
    <mergeCell ref="AK77:AM77"/>
    <mergeCell ref="AW77:AX77"/>
    <mergeCell ref="AH78:AJ78"/>
    <mergeCell ref="AK78:AM78"/>
    <mergeCell ref="AW78:AX78"/>
    <mergeCell ref="AE79:AE80"/>
    <mergeCell ref="AH79:AI79"/>
    <mergeCell ref="AJ79:AK79"/>
    <mergeCell ref="AL79:AM79"/>
    <mergeCell ref="AW79:AX79"/>
    <mergeCell ref="AH80:AJ80"/>
    <mergeCell ref="AK80:AM80"/>
    <mergeCell ref="AW80:AX80"/>
    <mergeCell ref="AE81:AG82"/>
    <mergeCell ref="AH81:AJ81"/>
    <mergeCell ref="AK81:AM81"/>
    <mergeCell ref="AW81:AX81"/>
    <mergeCell ref="AH82:AJ82"/>
    <mergeCell ref="AK82:AM82"/>
    <mergeCell ref="AW82:AX82"/>
    <mergeCell ref="AH83:AJ83"/>
    <mergeCell ref="AK83:AM83"/>
    <mergeCell ref="AW83:AX83"/>
    <mergeCell ref="AE84:AF85"/>
    <mergeCell ref="AH84:AI84"/>
    <mergeCell ref="AJ84:AK84"/>
    <mergeCell ref="AL84:AM84"/>
    <mergeCell ref="AH85:AJ85"/>
    <mergeCell ref="AK85:AM85"/>
    <mergeCell ref="AW85:AX85"/>
    <mergeCell ref="AW86:AX86"/>
    <mergeCell ref="AE87:AM87"/>
    <mergeCell ref="AH89:AJ89"/>
    <mergeCell ref="AK89:AM89"/>
    <mergeCell ref="AW88:AX88"/>
    <mergeCell ref="AH86:AJ86"/>
    <mergeCell ref="AK86:AM86"/>
    <mergeCell ref="AH88:AJ88"/>
    <mergeCell ref="AK88:AM88"/>
    <mergeCell ref="AH90:AJ90"/>
    <mergeCell ref="AK90:AM90"/>
    <mergeCell ref="AW89:AX89"/>
    <mergeCell ref="AH91:AJ91"/>
    <mergeCell ref="AK91:AM91"/>
    <mergeCell ref="AW90:AX90"/>
    <mergeCell ref="AH92:AJ92"/>
    <mergeCell ref="AK92:AM92"/>
    <mergeCell ref="AW91:AX91"/>
    <mergeCell ref="AH94:AJ94"/>
    <mergeCell ref="AK94:AM94"/>
    <mergeCell ref="AW92:AX92"/>
    <mergeCell ref="AH93:AJ93"/>
    <mergeCell ref="AK93:AM93"/>
    <mergeCell ref="AW93:AX93"/>
    <mergeCell ref="AH95:AJ95"/>
    <mergeCell ref="AK95:AM95"/>
    <mergeCell ref="X70:Z70"/>
    <mergeCell ref="O67:T67"/>
    <mergeCell ref="W67:Z67"/>
    <mergeCell ref="O68:T68"/>
    <mergeCell ref="W68:Z68"/>
    <mergeCell ref="R71:T71"/>
    <mergeCell ref="O72:Q72"/>
    <mergeCell ref="R72:T72"/>
    <mergeCell ref="L84:M85"/>
    <mergeCell ref="O84:P84"/>
    <mergeCell ref="O69:Q69"/>
    <mergeCell ref="R69:T69"/>
    <mergeCell ref="O70:Q70"/>
    <mergeCell ref="L75:L76"/>
    <mergeCell ref="O71:Q71"/>
    <mergeCell ref="L81:N82"/>
    <mergeCell ref="O81:Q81"/>
    <mergeCell ref="R81:T81"/>
    <mergeCell ref="L79:L80"/>
    <mergeCell ref="O79:P79"/>
    <mergeCell ref="Q79:R79"/>
    <mergeCell ref="O80:Q80"/>
    <mergeCell ref="R80:T80"/>
    <mergeCell ref="S79:T79"/>
    <mergeCell ref="R77:T77"/>
    <mergeCell ref="O78:Q78"/>
    <mergeCell ref="O82:Q82"/>
    <mergeCell ref="R82:T82"/>
    <mergeCell ref="O73:Q73"/>
    <mergeCell ref="R73:T73"/>
    <mergeCell ref="O74:Q74"/>
    <mergeCell ref="R74:T74"/>
    <mergeCell ref="O85:Q85"/>
    <mergeCell ref="R85:T85"/>
    <mergeCell ref="S42:U42"/>
    <mergeCell ref="S44:U44"/>
    <mergeCell ref="S45:U45"/>
    <mergeCell ref="S48:U48"/>
    <mergeCell ref="S46:U46"/>
    <mergeCell ref="O77:Q77"/>
    <mergeCell ref="O83:Q83"/>
    <mergeCell ref="R83:T83"/>
    <mergeCell ref="O95:Q95"/>
    <mergeCell ref="R95:T95"/>
    <mergeCell ref="O92:Q92"/>
    <mergeCell ref="R92:T92"/>
    <mergeCell ref="O94:Q94"/>
    <mergeCell ref="R94:T94"/>
    <mergeCell ref="O93:Q93"/>
    <mergeCell ref="R93:T93"/>
    <mergeCell ref="O43:Q43"/>
    <mergeCell ref="S43:U43"/>
    <mergeCell ref="H92:J92"/>
    <mergeCell ref="H81:J81"/>
    <mergeCell ref="K47:M47"/>
    <mergeCell ref="O47:Q47"/>
    <mergeCell ref="S47:U47"/>
    <mergeCell ref="O86:Q86"/>
    <mergeCell ref="R86:T86"/>
    <mergeCell ref="O90:Q90"/>
    <mergeCell ref="H74:J74"/>
    <mergeCell ref="AC50:AD50"/>
    <mergeCell ref="AC53:AD53"/>
    <mergeCell ref="R90:T90"/>
    <mergeCell ref="R89:T89"/>
    <mergeCell ref="O88:Q88"/>
    <mergeCell ref="R88:T88"/>
    <mergeCell ref="R78:T78"/>
    <mergeCell ref="Q84:R84"/>
    <mergeCell ref="S84:T84"/>
    <mergeCell ref="O91:Q91"/>
    <mergeCell ref="R91:T91"/>
    <mergeCell ref="L87:T87"/>
    <mergeCell ref="O89:Q89"/>
    <mergeCell ref="AC43:AD43"/>
    <mergeCell ref="S53:U53"/>
    <mergeCell ref="S49:U49"/>
    <mergeCell ref="S50:U50"/>
    <mergeCell ref="S51:U51"/>
    <mergeCell ref="D51:E52"/>
    <mergeCell ref="K52:M52"/>
    <mergeCell ref="O52:Q52"/>
    <mergeCell ref="S52:U52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AZ65"/>
  <sheetViews>
    <sheetView view="pageBreakPreview" zoomScaleSheetLayoutView="100" workbookViewId="0" topLeftCell="A1">
      <selection activeCell="W4" sqref="W4"/>
    </sheetView>
  </sheetViews>
  <sheetFormatPr defaultColWidth="8.88671875" defaultRowHeight="13.5"/>
  <cols>
    <col min="1" max="30" width="2.77734375" style="1" customWidth="1"/>
    <col min="31" max="63" width="3.77734375" style="1" customWidth="1"/>
    <col min="64" max="16384" width="8.88671875" style="1" customWidth="1"/>
  </cols>
  <sheetData>
    <row r="1" spans="1:32" ht="11.25" customHeight="1">
      <c r="A1" s="19"/>
      <c r="B1" s="19" t="str">
        <f>title2&amp;"  :"</f>
        <v>Technical Guide  :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42" t="s">
        <v>38</v>
      </c>
      <c r="V1" s="43"/>
      <c r="W1" s="43"/>
      <c r="X1" s="211" t="str">
        <f>docno</f>
        <v>TG - WSP - 100</v>
      </c>
      <c r="Y1" s="204"/>
      <c r="Z1" s="204"/>
      <c r="AA1" s="204"/>
      <c r="AB1" s="204"/>
      <c r="AC1" s="24"/>
      <c r="AD1" s="25"/>
      <c r="AE1" s="25"/>
      <c r="AF1" s="25"/>
    </row>
    <row r="2" spans="1:32" ht="11.25" customHeight="1">
      <c r="A2" s="207" t="str">
        <f>title</f>
        <v>White Smoke Prevention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8"/>
      <c r="U2" s="44" t="s">
        <v>39</v>
      </c>
      <c r="V2" s="45"/>
      <c r="W2" s="45"/>
      <c r="X2" s="212" t="s">
        <v>37</v>
      </c>
      <c r="Y2" s="205"/>
      <c r="Z2" s="205"/>
      <c r="AA2" s="205"/>
      <c r="AB2" s="205"/>
      <c r="AC2" s="29"/>
      <c r="AD2" s="25"/>
      <c r="AE2" s="25"/>
      <c r="AF2" s="25"/>
    </row>
    <row r="3" spans="1:32" ht="11.2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8"/>
      <c r="U3" s="44" t="s">
        <v>40</v>
      </c>
      <c r="V3" s="45"/>
      <c r="W3" s="45"/>
      <c r="X3" s="30">
        <v>0</v>
      </c>
      <c r="Y3" s="52">
        <v>1</v>
      </c>
      <c r="Z3" s="52"/>
      <c r="AA3" s="52"/>
      <c r="AB3" s="53"/>
      <c r="AC3" s="29"/>
      <c r="AD3" s="25"/>
      <c r="AE3" s="25"/>
      <c r="AF3" s="25"/>
    </row>
    <row r="4" spans="1:32" ht="11.2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10"/>
      <c r="U4" s="46" t="s">
        <v>41</v>
      </c>
      <c r="V4" s="47"/>
      <c r="W4" s="47"/>
      <c r="X4" s="48"/>
      <c r="Y4" s="49">
        <v>4</v>
      </c>
      <c r="Z4" s="34" t="s">
        <v>42</v>
      </c>
      <c r="AA4" s="35">
        <f>sheetqty</f>
        <v>4</v>
      </c>
      <c r="AB4" s="47"/>
      <c r="AC4" s="24"/>
      <c r="AE4" s="25"/>
      <c r="AF4" s="25"/>
    </row>
    <row r="5" spans="1:32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AC5" s="24"/>
      <c r="AD5" s="25"/>
      <c r="AE5" s="25"/>
      <c r="AF5" s="25"/>
    </row>
    <row r="6" spans="1:32" ht="11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AC6" s="24"/>
      <c r="AE6" s="25"/>
      <c r="AF6" s="25"/>
    </row>
    <row r="7" spans="1:29" ht="11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AC7" s="37"/>
    </row>
    <row r="8" spans="1:29" ht="11.25" customHeight="1">
      <c r="A8" s="9"/>
      <c r="B8" s="9"/>
      <c r="C8" s="38" t="s">
        <v>43</v>
      </c>
      <c r="D8" s="51" t="s">
        <v>44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AC8" s="37"/>
    </row>
    <row r="9" spans="1:29" ht="11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AC9" s="37"/>
    </row>
    <row r="10" spans="1:29" ht="11.25" customHeight="1">
      <c r="A10" s="36"/>
      <c r="B10" s="36"/>
      <c r="C10" s="36"/>
      <c r="D10" s="57" t="s">
        <v>148</v>
      </c>
      <c r="E10" s="36"/>
      <c r="F10" s="36"/>
      <c r="G10" s="36"/>
      <c r="H10" s="36"/>
      <c r="I10" s="36"/>
      <c r="J10" s="36"/>
      <c r="K10" s="36"/>
      <c r="L10" s="36"/>
      <c r="M10" s="36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36"/>
      <c r="AC10" s="36"/>
    </row>
    <row r="11" spans="1:27" ht="11.25" customHeight="1">
      <c r="A11" s="9"/>
      <c r="B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39" t="s">
        <v>60</v>
      </c>
      <c r="Z11" s="9"/>
      <c r="AA11" s="9"/>
    </row>
    <row r="12" spans="1:27" ht="11.25" customHeight="1">
      <c r="A12" s="9"/>
      <c r="B12" s="9"/>
      <c r="G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9" ht="11.25" customHeight="1">
      <c r="A13" s="9"/>
      <c r="B13" s="9"/>
      <c r="D13" s="1" t="s">
        <v>47</v>
      </c>
      <c r="G13" s="9"/>
      <c r="I13" s="9"/>
      <c r="J13" s="9"/>
      <c r="K13" s="9"/>
      <c r="L13" s="9" t="str">
        <f>D13</f>
        <v>ma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 t="str">
        <f>D15</f>
        <v>W1</v>
      </c>
      <c r="Z13" s="9"/>
      <c r="AA13" s="9"/>
      <c r="AC13" s="37"/>
    </row>
    <row r="14" spans="1:27" ht="11.25" customHeight="1">
      <c r="A14" s="9"/>
      <c r="B14" s="9"/>
      <c r="D14" s="1" t="s">
        <v>48</v>
      </c>
      <c r="G14" s="10" t="s">
        <v>174</v>
      </c>
      <c r="I14" s="9"/>
      <c r="J14" s="9"/>
      <c r="K14" s="9"/>
      <c r="L14" s="9" t="s">
        <v>51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Z14" s="9"/>
      <c r="AA14" s="9"/>
    </row>
    <row r="15" spans="1:27" ht="11.25" customHeight="1">
      <c r="A15" s="9"/>
      <c r="B15" s="9"/>
      <c r="D15" s="1" t="s">
        <v>49</v>
      </c>
      <c r="G15" s="9"/>
      <c r="I15" s="9"/>
      <c r="J15" s="9"/>
      <c r="K15" s="9"/>
      <c r="L15" s="9" t="s">
        <v>52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1.25" customHeight="1">
      <c r="A16" s="9"/>
      <c r="B16" s="9"/>
      <c r="D16" s="1" t="s">
        <v>50</v>
      </c>
      <c r="G16" s="9"/>
      <c r="I16" s="9"/>
      <c r="J16" s="9"/>
      <c r="K16" s="9"/>
      <c r="L16" s="9" t="s">
        <v>53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1.25" customHeight="1">
      <c r="A17" s="9"/>
      <c r="B17" s="9"/>
      <c r="G17" s="9"/>
      <c r="I17" s="273" t="s">
        <v>214</v>
      </c>
      <c r="J17" s="273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 t="s">
        <v>56</v>
      </c>
      <c r="Z17" s="9"/>
      <c r="AA17" s="9"/>
    </row>
    <row r="18" spans="1:27" ht="11.25" customHeight="1">
      <c r="A18" s="9"/>
      <c r="B18" s="9"/>
      <c r="G18" s="9"/>
      <c r="I18" s="9"/>
      <c r="J18" s="9"/>
      <c r="K18" s="9"/>
      <c r="L18" s="9"/>
      <c r="M18" s="9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ht="11.25" customHeight="1">
      <c r="A19" s="9"/>
      <c r="B19" s="9"/>
      <c r="C19" s="37"/>
      <c r="G19" s="9"/>
      <c r="H19" s="162" t="s">
        <v>172</v>
      </c>
      <c r="I19" s="272" t="s">
        <v>58</v>
      </c>
      <c r="J19" s="272"/>
      <c r="K19" s="9"/>
      <c r="L19" s="9"/>
      <c r="M19" s="9"/>
      <c r="N19" s="16" t="s">
        <v>46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10" t="str">
        <f>L15</f>
        <v>W2</v>
      </c>
      <c r="Z19" s="36"/>
      <c r="AA19" s="36"/>
    </row>
    <row r="20" spans="1:29" ht="11.25" customHeight="1">
      <c r="A20" s="9"/>
      <c r="B20" s="9"/>
      <c r="C20" s="9"/>
      <c r="D20" s="37"/>
      <c r="E20" s="37"/>
      <c r="F20" s="37"/>
      <c r="G20" s="36"/>
      <c r="H20" s="37"/>
      <c r="I20" s="272" t="s">
        <v>59</v>
      </c>
      <c r="J20" s="272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C20" s="37"/>
    </row>
    <row r="21" spans="1:29" ht="11.25" customHeight="1">
      <c r="A21" s="9"/>
      <c r="B21" s="9"/>
      <c r="C21" s="9"/>
      <c r="D21" s="9"/>
      <c r="E21" s="9"/>
      <c r="F21" s="9"/>
      <c r="G21" s="9"/>
      <c r="H21" s="9"/>
      <c r="K21" s="9"/>
      <c r="L21" s="9"/>
      <c r="M21" s="9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C21" s="37"/>
    </row>
    <row r="22" spans="1:29" ht="11.25" customHeight="1">
      <c r="A22" s="36"/>
      <c r="B22" s="36"/>
      <c r="H22" s="9"/>
      <c r="I22" s="9"/>
      <c r="J22" s="9"/>
      <c r="K22" s="9"/>
      <c r="L22" s="9"/>
      <c r="M22" s="9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  <c r="AC22" s="37"/>
    </row>
    <row r="23" spans="1:39" ht="11.25" customHeight="1">
      <c r="A23" s="36"/>
      <c r="B23" s="36"/>
      <c r="C23" s="37"/>
      <c r="D23" s="37"/>
      <c r="E23" s="37"/>
      <c r="F23" s="37"/>
      <c r="G23" s="37"/>
      <c r="H23" s="36"/>
      <c r="I23" s="36"/>
      <c r="J23" s="36"/>
      <c r="K23" s="36"/>
      <c r="L23" s="37"/>
      <c r="M23" s="36"/>
      <c r="N23" s="54" t="s">
        <v>45</v>
      </c>
      <c r="O23" s="36"/>
      <c r="P23" s="36"/>
      <c r="Q23" s="272" t="str">
        <f>L16</f>
        <v>T2</v>
      </c>
      <c r="R23" s="272"/>
      <c r="S23" s="36"/>
      <c r="T23" s="272" t="s">
        <v>57</v>
      </c>
      <c r="U23" s="272"/>
      <c r="V23" s="130" t="s">
        <v>245</v>
      </c>
      <c r="W23" s="272" t="str">
        <f>D16</f>
        <v>T1</v>
      </c>
      <c r="X23" s="272"/>
      <c r="Y23" s="36"/>
      <c r="Z23" s="36"/>
      <c r="AA23" s="36"/>
      <c r="AB23" s="37"/>
      <c r="AC23" s="37"/>
      <c r="AH23" s="172" t="s">
        <v>253</v>
      </c>
      <c r="AK23" s="173" t="s">
        <v>254</v>
      </c>
      <c r="AM23" s="173" t="s">
        <v>255</v>
      </c>
    </row>
    <row r="24" spans="1:40" ht="11.25" customHeight="1">
      <c r="A24" s="36"/>
      <c r="B24" s="36"/>
      <c r="C24" s="37"/>
      <c r="D24" s="37"/>
      <c r="E24" s="37"/>
      <c r="F24" s="37"/>
      <c r="G24" s="37"/>
      <c r="H24" s="36"/>
      <c r="I24" s="36"/>
      <c r="J24" s="36"/>
      <c r="K24" s="36"/>
      <c r="L24" s="37"/>
      <c r="M24" s="36"/>
      <c r="N24" s="9"/>
      <c r="O24" s="9"/>
      <c r="P24" s="9"/>
      <c r="Q24" s="294">
        <f>O48</f>
        <v>19.66999999999999</v>
      </c>
      <c r="R24" s="294"/>
      <c r="S24" s="9"/>
      <c r="T24" s="294">
        <f>AM24</f>
        <v>29.67099999999999</v>
      </c>
      <c r="U24" s="294"/>
      <c r="V24" s="166">
        <f>AH39</f>
        <v>42.98586176105027</v>
      </c>
      <c r="W24" s="273">
        <f>K48</f>
        <v>50</v>
      </c>
      <c r="X24" s="273"/>
      <c r="AB24" s="37"/>
      <c r="AC24" s="37"/>
      <c r="AH24" s="1" t="s">
        <v>250</v>
      </c>
      <c r="AI24" s="171">
        <v>5</v>
      </c>
      <c r="AJ24" s="1" t="str">
        <f>AN36</f>
        <v>℃</v>
      </c>
      <c r="AK24" s="174">
        <f>tempconv(psy_intersection_gm(AI24,AI25,AH36,AH51,AN36,pressconv(0,AN37,"kg/cm2.g"),pressconv(AJ37,AN37,"kg/cm2.g"),AP33,AP34,AP35,AP36,AP37,AP38,AP39,AP40,AP41,AP42,AR33,AR34,AR35,AR36,AR37,AR38,AR39,AR40,AR41,AR42,AQ32,1),"℃",AN36)</f>
        <v>19.66999999999999</v>
      </c>
      <c r="AL24" s="1" t="str">
        <f>AJ24</f>
        <v>℃</v>
      </c>
      <c r="AM24" s="174">
        <f>tempconv(psy_intersection_gm(AI24,AI25,AH36,AH51,AN36,pressconv(0,AN37,"kg/cm2.g"),pressconv(AJ37,AN37,"kg/cm2.g"),AP33,AP34,AP35,AP36,AP37,AP38,AP39,AP40,AP41,AP42,AR33,AR34,AR35,AR36,AR37,AR38,AR39,AR40,AR41,AR42,AQ32,2),"℃",AN36)</f>
        <v>29.67099999999999</v>
      </c>
      <c r="AN24" s="1" t="str">
        <f>AL24</f>
        <v>℃</v>
      </c>
    </row>
    <row r="25" spans="1:36" ht="11.25" customHeight="1">
      <c r="A25" s="36"/>
      <c r="B25" s="36"/>
      <c r="C25" s="37"/>
      <c r="D25" s="37"/>
      <c r="E25" s="37"/>
      <c r="F25" s="37"/>
      <c r="G25" s="37"/>
      <c r="H25" s="36"/>
      <c r="I25" s="36"/>
      <c r="J25" s="36"/>
      <c r="K25" s="36"/>
      <c r="L25" s="37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7"/>
      <c r="AC25" s="37"/>
      <c r="AH25" s="1" t="s">
        <v>251</v>
      </c>
      <c r="AI25" s="171">
        <v>30</v>
      </c>
      <c r="AJ25" s="1" t="s">
        <v>252</v>
      </c>
    </row>
    <row r="26" spans="1:34" ht="11.25" customHeight="1">
      <c r="A26" s="36"/>
      <c r="B26" s="36"/>
      <c r="C26" s="37"/>
      <c r="D26" s="37" t="s">
        <v>173</v>
      </c>
      <c r="E26" s="37"/>
      <c r="F26" s="37"/>
      <c r="G26" s="37"/>
      <c r="H26" s="36"/>
      <c r="I26" s="36"/>
      <c r="J26" s="36"/>
      <c r="K26" s="36"/>
      <c r="L26" s="37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7"/>
      <c r="AC26" s="37"/>
      <c r="AH26" s="128" t="str">
        <f>psy_intersection_gm(AI24,AI25,AH36,AH51,AN36,pressconv(0,AN37,"kg/cm2.g"),pressconv(AJ37,AN37,"kg/cm2.g"),AP33,AP34,AP35,AP36,AP37,AP38,AP39,AP40,AP41,AP42,AR33,AR34,AR35,AR36,AR37,AR38,AR39,AR40,AR41,AR42,AQ32,0)</f>
        <v>Fogging occurs !</v>
      </c>
    </row>
    <row r="27" spans="1:29" ht="11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7"/>
    </row>
    <row r="28" spans="1:52" ht="11.25" customHeight="1">
      <c r="A28" s="9"/>
      <c r="B28" s="9"/>
      <c r="C28" s="9"/>
      <c r="D28" s="36" t="s">
        <v>249</v>
      </c>
      <c r="E28" s="36"/>
      <c r="F28" s="36" t="str">
        <f>"is the "&amp;AH23&amp;" state."</f>
        <v>is the Ambient Air state.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9"/>
      <c r="AC28" s="37"/>
      <c r="AH28" s="9"/>
      <c r="AI28" s="9"/>
      <c r="AJ28" s="9"/>
      <c r="AK28" s="9"/>
      <c r="AL28" s="9"/>
      <c r="AM28" s="9"/>
      <c r="AN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1.25" customHeight="1">
      <c r="A29" s="36"/>
      <c r="B29" s="36"/>
      <c r="C29" s="37"/>
      <c r="D29" s="37" t="s">
        <v>234</v>
      </c>
      <c r="F29" s="37" t="s">
        <v>235</v>
      </c>
      <c r="G29" s="37"/>
      <c r="H29" s="36"/>
      <c r="I29" s="36"/>
      <c r="J29" s="36"/>
      <c r="K29" s="36"/>
      <c r="L29" s="37"/>
      <c r="N29" s="10" t="s">
        <v>184</v>
      </c>
      <c r="P29" s="36" t="s">
        <v>236</v>
      </c>
      <c r="Q29" s="36"/>
      <c r="R29" s="36"/>
      <c r="S29" s="36"/>
      <c r="T29" s="36"/>
      <c r="U29" s="36"/>
      <c r="V29" s="36"/>
      <c r="W29" s="36"/>
      <c r="X29" s="36"/>
      <c r="Z29" s="36"/>
      <c r="AA29" s="36"/>
      <c r="AB29" s="37"/>
      <c r="AC29" s="37"/>
      <c r="AE29" s="13" t="s">
        <v>130</v>
      </c>
      <c r="AF29" s="13"/>
      <c r="AG29" s="13"/>
      <c r="AH29" s="251" t="s">
        <v>143</v>
      </c>
      <c r="AI29" s="251"/>
      <c r="AJ29" s="251"/>
      <c r="AK29" s="251"/>
      <c r="AL29" s="251"/>
      <c r="AM29" s="251"/>
      <c r="AP29" s="255" t="s">
        <v>119</v>
      </c>
      <c r="AQ29" s="255"/>
      <c r="AR29" s="255"/>
      <c r="AS29" s="255"/>
      <c r="AT29" s="9"/>
      <c r="AU29" s="9"/>
      <c r="AV29" s="114"/>
      <c r="AW29" s="114"/>
      <c r="AX29" s="114"/>
      <c r="AY29" s="114"/>
      <c r="AZ29" s="114"/>
    </row>
    <row r="30" spans="1:52" ht="11.25" customHeight="1">
      <c r="A30" s="36"/>
      <c r="B30" s="36"/>
      <c r="C30" s="36"/>
      <c r="D30" s="36" t="s">
        <v>234</v>
      </c>
      <c r="F30" s="36" t="s">
        <v>239</v>
      </c>
      <c r="G30" s="36"/>
      <c r="H30" s="36"/>
      <c r="I30" s="36"/>
      <c r="J30" s="36"/>
      <c r="L30" s="36" t="s">
        <v>242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E30" s="15" t="s">
        <v>131</v>
      </c>
      <c r="AF30" s="15"/>
      <c r="AG30" s="15"/>
      <c r="AH30" s="252" t="s">
        <v>70</v>
      </c>
      <c r="AI30" s="252"/>
      <c r="AJ30" s="252"/>
      <c r="AK30" s="252"/>
      <c r="AL30" s="252"/>
      <c r="AM30" s="252"/>
      <c r="AP30" s="255" t="str">
        <f>IF(AH30&lt;&gt;"Gas Mixture","***",IF(AW51&lt;&gt;"Yes",AU30,AU51))</f>
        <v>Gas Mixture</v>
      </c>
      <c r="AQ30" s="255"/>
      <c r="AR30" s="255"/>
      <c r="AS30" s="255"/>
      <c r="AT30" s="9"/>
      <c r="AU30" s="115" t="s">
        <v>71</v>
      </c>
      <c r="AV30" s="18"/>
      <c r="AW30" s="18"/>
      <c r="AX30" s="18"/>
      <c r="AY30" s="18"/>
      <c r="AZ30" s="18"/>
    </row>
    <row r="31" spans="1:52" ht="11.25" customHeight="1">
      <c r="A31" s="36"/>
      <c r="B31" s="36"/>
      <c r="C31" s="36"/>
      <c r="D31" s="36" t="s">
        <v>246</v>
      </c>
      <c r="E31" s="36"/>
      <c r="F31" s="36"/>
      <c r="G31" s="10" t="s">
        <v>238</v>
      </c>
      <c r="H31" s="36"/>
      <c r="K31" s="9"/>
      <c r="N31" s="36"/>
      <c r="O31" s="36"/>
      <c r="Q31" s="36"/>
      <c r="T31" s="36"/>
      <c r="U31" s="36"/>
      <c r="V31" s="36"/>
      <c r="W31" s="36"/>
      <c r="X31" s="36"/>
      <c r="Z31" s="37"/>
      <c r="AA31" s="37"/>
      <c r="AB31" s="37"/>
      <c r="AC31" s="36"/>
      <c r="AE31" s="15"/>
      <c r="AF31" s="15"/>
      <c r="AG31" s="15"/>
      <c r="AH31" s="250" t="s">
        <v>72</v>
      </c>
      <c r="AI31" s="250"/>
      <c r="AJ31" s="253"/>
      <c r="AK31" s="254" t="s">
        <v>73</v>
      </c>
      <c r="AL31" s="250"/>
      <c r="AM31" s="250"/>
      <c r="AP31" s="117"/>
      <c r="AQ31" s="118" t="s">
        <v>74</v>
      </c>
      <c r="AR31" s="119" t="str">
        <f>AH31</f>
        <v>Inlet</v>
      </c>
      <c r="AS31" s="119" t="str">
        <f>AK31</f>
        <v>Outlet</v>
      </c>
      <c r="AT31" s="39"/>
      <c r="AU31" s="250" t="str">
        <f>AR31</f>
        <v>Inlet</v>
      </c>
      <c r="AV31" s="250"/>
      <c r="AW31" s="250"/>
      <c r="AX31" s="250"/>
      <c r="AY31" s="250"/>
      <c r="AZ31" s="250"/>
    </row>
    <row r="32" spans="1:52" ht="11.25" customHeight="1">
      <c r="A32" s="36"/>
      <c r="B32" s="36"/>
      <c r="C32" s="36"/>
      <c r="D32" s="36"/>
      <c r="E32" s="36"/>
      <c r="F32" s="36"/>
      <c r="G32" s="36"/>
      <c r="H32" s="36"/>
      <c r="K32" s="10" t="s">
        <v>247</v>
      </c>
      <c r="L32" s="36"/>
      <c r="M32" s="36"/>
      <c r="N32" s="36" t="s">
        <v>241</v>
      </c>
      <c r="O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E32" s="74" t="s">
        <v>132</v>
      </c>
      <c r="AF32" s="74"/>
      <c r="AG32" s="15"/>
      <c r="AH32" s="249">
        <v>17000</v>
      </c>
      <c r="AI32" s="249"/>
      <c r="AJ32" s="249"/>
      <c r="AK32" s="62" t="s">
        <v>153</v>
      </c>
      <c r="AL32" s="13"/>
      <c r="AM32" s="13"/>
      <c r="AP32" s="63" t="str">
        <f>IF(AH30&lt;&gt;"Gas Mixture","- N/A -","Yes")</f>
        <v>Yes</v>
      </c>
      <c r="AQ32" s="244" t="s">
        <v>75</v>
      </c>
      <c r="AR32" s="244"/>
      <c r="AS32" s="244"/>
      <c r="AT32" s="9"/>
      <c r="AU32" s="64" t="str">
        <f>IF(AP32&lt;&gt;"Yes","- N/A -",IF(AW51="Yes","- N/A -","Yes"))</f>
        <v>Yes</v>
      </c>
      <c r="AV32" s="65"/>
      <c r="AW32" s="245" t="s">
        <v>75</v>
      </c>
      <c r="AX32" s="245"/>
      <c r="AY32" s="66" t="s">
        <v>87</v>
      </c>
      <c r="AZ32" s="67" t="s">
        <v>88</v>
      </c>
    </row>
    <row r="33" spans="1:52" ht="11.25" customHeight="1">
      <c r="A33" s="36"/>
      <c r="B33" s="36"/>
      <c r="C33" s="36"/>
      <c r="D33" s="36" t="s">
        <v>237</v>
      </c>
      <c r="E33" s="36"/>
      <c r="F33" s="36"/>
      <c r="G33" s="10" t="s">
        <v>238</v>
      </c>
      <c r="H33" s="36"/>
      <c r="K33" s="9"/>
      <c r="N33" s="36"/>
      <c r="O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E33" s="15"/>
      <c r="AF33" s="15" t="s">
        <v>120</v>
      </c>
      <c r="AG33" s="15"/>
      <c r="AH33" s="310">
        <f>AH43/IF(AK32="kg/h",1,IF(AK32="m3/h",1*AH41,IF(AK32="Nm3/h",1*AH42)))</f>
        <v>17000</v>
      </c>
      <c r="AI33" s="310"/>
      <c r="AJ33" s="311"/>
      <c r="AK33" s="309">
        <f>AK43/IF(AK32="kg/h",1,IF(AK32="m3/h",1*AK41,IF(AK32="Nm3/h",1*AK42)))</f>
        <v>14425.169097020078</v>
      </c>
      <c r="AL33" s="310"/>
      <c r="AM33" s="310"/>
      <c r="AN33" s="9"/>
      <c r="AP33" s="68" t="str">
        <f>IF(AP32&lt;&gt;"Yes","***",IF(AW51&lt;&gt;"Yes",AU33,AU57))</f>
        <v>H2O</v>
      </c>
      <c r="AQ33" s="69">
        <f>IF(AP32&lt;&gt;"Yes","***",IF(AW51&lt;&gt;"Yes",IF(AQ32=AY32,AY33,AZ33),IF(AQ32=AW56,AW57,AX57)))</f>
        <v>8.53085308530853</v>
      </c>
      <c r="AR33" s="154">
        <f>IF(AP32&lt;&gt;"Yes","***",gmcond(AH36,AN36,AJ37,AN37,AP33,AP34,AP35,AP36,AP37,AP38,AP39,AP40,AP41,AP42,AQ33,AQ34,AQ35,AQ36,AQ37,AQ38,AQ39,AQ40,AQ41,AQ42,AQ32,IF(AQ32="volume%",14,15)))</f>
        <v>8.530853085308529</v>
      </c>
      <c r="AS33" s="154">
        <f>IF(AP32&lt;&gt;"Yes","***",gmcond(AM36,AN36,AM38,AN37,AP33,AP34,AP35,AP36,AP37,AP38,AP39,AP40,AP41,AP42,AQ33,AQ34,AQ35,AQ36,AQ37,AQ38,AQ39,AQ40,AQ41,AQ42,AQ32,IF(AQ32="volume%",14,15)))</f>
        <v>2.2618551967577423</v>
      </c>
      <c r="AT33" s="9"/>
      <c r="AU33" s="71" t="s">
        <v>76</v>
      </c>
      <c r="AV33" s="71"/>
      <c r="AW33" s="248">
        <v>8.53</v>
      </c>
      <c r="AX33" s="248"/>
      <c r="AY33" s="72">
        <f>IF(AU32&lt;&gt;"Yes","***",IF(OR(AU33="",AW33="",AW33&lt;=0),0,gmconv(AU33,AU34,AU35,AU36,AU37,AU38,AU39,AU40,AU41,AU42,AW33,AW34,AW35,AW36,AW37,AW38,AW39,AW40,AW41,AW42,AW32,14)))</f>
        <v>8.53085308530853</v>
      </c>
      <c r="AZ33" s="73">
        <f>IF(AU32&lt;&gt;"Yes","***",IF(OR(AU33="",AW33="",AW33&lt;=0),0,gmconv(AU33,AU34,AU35,AU36,AU37,AU38,AU39,AU40,AU41,AU42,AW33,AW34,AW35,AW36,AW37,AW38,AW39,AW40,AW41,AW42,AW32,15)))</f>
        <v>5.482797946780586</v>
      </c>
    </row>
    <row r="34" spans="1:52" ht="11.25" customHeight="1">
      <c r="A34" s="36"/>
      <c r="B34" s="36"/>
      <c r="C34" s="36"/>
      <c r="D34" s="36"/>
      <c r="E34" s="36"/>
      <c r="F34" s="36"/>
      <c r="G34" s="36"/>
      <c r="H34" s="36"/>
      <c r="K34" s="10" t="s">
        <v>240</v>
      </c>
      <c r="L34" s="36"/>
      <c r="M34" s="36"/>
      <c r="N34" s="36" t="s">
        <v>241</v>
      </c>
      <c r="O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E34" s="74"/>
      <c r="AF34" s="74" t="s">
        <v>121</v>
      </c>
      <c r="AG34" s="15"/>
      <c r="AH34" s="306"/>
      <c r="AI34" s="306"/>
      <c r="AJ34" s="307"/>
      <c r="AK34" s="308"/>
      <c r="AL34" s="306"/>
      <c r="AM34" s="306"/>
      <c r="AN34" s="9"/>
      <c r="AO34" s="9"/>
      <c r="AP34" s="74" t="str">
        <f>IF(AP32&lt;&gt;"Yes","***",IF(AW51&lt;&gt;"Yes",AU34,AU58))</f>
        <v>N2</v>
      </c>
      <c r="AQ34" s="75">
        <f>IF(AP32&lt;&gt;"Yes","***",IF(AW51&lt;&gt;"Yes",IF(AQ32=AY32,AY34,AZ34),IF(AQ32=AW56,AW58,AX58)))</f>
        <v>71.42714271427143</v>
      </c>
      <c r="AR34" s="155">
        <f>IF(AP32&lt;&gt;"Yes","***",gmcond(AH36,AN36,AJ37,AN37,AP33,AP34,AP35,AP36,AP37,AP38,AP39,AP40,AP41,AP42,AQ33,AQ34,AQ35,AQ36,AQ37,AQ38,AQ39,AQ40,AQ41,AQ42,AQ32,IF(AQ32="volume%",24,25)))</f>
        <v>71.42714271427143</v>
      </c>
      <c r="AS34" s="155">
        <f>IF(AP32&lt;&gt;"Yes","***",gmcond(AM36,AN36,AM38,AN37,AP33,AP34,AP35,AP36,AP37,AP38,AP39,AP40,AP41,AP42,AQ33,AQ34,AQ35,AQ36,AQ37,AQ38,AQ39,AQ40,AQ41,AQ42,AQ32,IF(AQ32="volume%",24,25)))</f>
        <v>76.3225268078675</v>
      </c>
      <c r="AT34" s="9"/>
      <c r="AU34" s="15" t="s">
        <v>78</v>
      </c>
      <c r="AV34" s="15"/>
      <c r="AW34" s="227">
        <v>71.42</v>
      </c>
      <c r="AX34" s="227"/>
      <c r="AY34" s="77">
        <f>IF(AU32&lt;&gt;"Yes","***",IF(OR(AU34="",AW34="",AW34&lt;=0),0,gmconv(AU33,AU34,AU35,AU36,AU37,AU38,AU39,AU40,AU41,AU42,AW33,AW34,AW35,AW36,AW37,AW38,AW39,AW40,AW41,AW42,AW32,24)))</f>
        <v>71.42714271427143</v>
      </c>
      <c r="AZ34" s="75">
        <f>IF(AU32&lt;&gt;"Yes","***",IF(OR(AU34="",AW34="",AW34&lt;=0),0,gmconv(AU33,AU34,AU35,AU36,AU37,AU38,AU39,AU40,AU41,AU42,AW33,AW34,AW35,AW36,AW37,AW38,AW39,AW40,AW41,AW42,AW32,25)))</f>
        <v>71.38382097508801</v>
      </c>
    </row>
    <row r="35" spans="1:52" ht="11.25" customHeight="1">
      <c r="A35" s="9"/>
      <c r="B35" s="9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7"/>
      <c r="AC35" s="37"/>
      <c r="AE35" s="15"/>
      <c r="AF35" s="122" t="s">
        <v>139</v>
      </c>
      <c r="AG35" s="15"/>
      <c r="AH35" s="304">
        <f>AR53</f>
        <v>0</v>
      </c>
      <c r="AI35" s="304"/>
      <c r="AJ35" s="305"/>
      <c r="AK35" s="241">
        <f>AS53</f>
        <v>730.291832354826</v>
      </c>
      <c r="AL35" s="242"/>
      <c r="AM35" s="242"/>
      <c r="AN35" s="9" t="s">
        <v>85</v>
      </c>
      <c r="AO35" s="9"/>
      <c r="AP35" s="74" t="str">
        <f>IF(AP32&lt;&gt;"Yes","***",IF(AW51&lt;&gt;"Yes",AU35,AU59))</f>
        <v>O2</v>
      </c>
      <c r="AQ35" s="75">
        <f>IF(AP32&lt;&gt;"Yes","***",IF(AW51&lt;&gt;"Yes",IF(AQ32=AY32,AY35,AZ35),IF(AQ32=AW56,AW59,AX59)))</f>
        <v>19.161916191619163</v>
      </c>
      <c r="AR35" s="155">
        <f>IF(AP32&lt;&gt;"Yes","***",gmcond(AH36,AN36,AJ37,AN37,AP33,AP34,AP35,AP36,AP37,AP38,AP39,AP40,AP41,AP42,AQ33,AQ34,AQ35,AQ36,AQ37,AQ38,AQ39,AQ40,AQ41,AQ42,AQ32,IF(AQ32="volume%",34,35)))</f>
        <v>19.16191619161916</v>
      </c>
      <c r="AS35" s="155">
        <f>IF(AP32&lt;&gt;"Yes","***",gmcond(AM36,AN36,AM38,AN37,AP33,AP34,AP35,AP36,AP37,AP38,AP39,AP40,AP41,AP42,AQ33,AQ34,AQ35,AQ36,AQ37,AQ38,AQ39,AQ40,AQ41,AQ42,AQ32,IF(AQ32="volume%",34,35)))</f>
        <v>20.47521161633634</v>
      </c>
      <c r="AT35" s="9"/>
      <c r="AU35" s="15" t="s">
        <v>79</v>
      </c>
      <c r="AV35" s="15"/>
      <c r="AW35" s="227">
        <v>19.16</v>
      </c>
      <c r="AX35" s="227"/>
      <c r="AY35" s="77">
        <f>IF(AU32&lt;&gt;"Yes","***",IF(OR(AU35="",AW35="",AW35&lt;=0),0,gmconv(AU33,AU34,AU35,AU36,AU37,AU38,AU39,AU40,AU41,AU42,AW33,AW34,AW35,AW36,AW37,AW38,AW39,AW40,AW41,AW42,AW32,34)))</f>
        <v>19.161916191619163</v>
      </c>
      <c r="AZ35" s="75">
        <f>IF(AU32&lt;&gt;"Yes","***",IF(OR(AU35="",AW35="",AW35&lt;=0),0,gmconv(AU33,AU34,AU35,AU36,AU37,AU38,AU39,AU40,AU41,AU42,AW33,AW34,AW35,AW36,AW37,AW38,AW39,AW40,AW41,AW42,AW32,35)))</f>
        <v>21.874761121608298</v>
      </c>
    </row>
    <row r="36" spans="1:52" ht="11.25" customHeight="1">
      <c r="A36" s="36"/>
      <c r="B36" s="36"/>
      <c r="C36" s="36"/>
      <c r="D36" s="127" t="s">
        <v>149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7"/>
      <c r="W36" s="37"/>
      <c r="X36" s="37"/>
      <c r="Z36" s="37"/>
      <c r="AA36" s="37"/>
      <c r="AB36" s="37"/>
      <c r="AE36" s="15" t="s">
        <v>133</v>
      </c>
      <c r="AF36" s="15"/>
      <c r="AG36" s="15"/>
      <c r="AH36" s="258">
        <v>50</v>
      </c>
      <c r="AI36" s="258"/>
      <c r="AJ36" s="259"/>
      <c r="AK36" s="175">
        <f>AK24</f>
        <v>19.66999999999999</v>
      </c>
      <c r="AL36" s="170"/>
      <c r="AM36" s="176">
        <f>AK36</f>
        <v>19.66999999999999</v>
      </c>
      <c r="AN36" s="9" t="s">
        <v>82</v>
      </c>
      <c r="AO36" s="9"/>
      <c r="AP36" s="74" t="str">
        <f>IF(AP32&lt;&gt;"Yes","***",IF(AW51&lt;&gt;"Yes",AU36,AU60))</f>
        <v>CO2</v>
      </c>
      <c r="AQ36" s="75">
        <f>IF(AP32&lt;&gt;"Yes","***",IF(AW51&lt;&gt;"Yes",IF(AQ32=AY32,AY36,AZ36),IF(AQ32=AW56,AW60,AX60)))</f>
        <v>0.030003000300030006</v>
      </c>
      <c r="AR36" s="155">
        <f>IF(AP32&lt;&gt;"Yes","***",gmcond(AH36,AN36,AJ37,AN37,AP33,AP34,AP35,AP36,AP37,AP38,AP39,AP40,AP41,AP42,AQ33,AQ34,AQ35,AQ36,AQ37,AQ38,AQ39,AQ40,AQ41,AQ42,AQ32,IF(AQ32="volume%",44,45)))</f>
        <v>0.030003000300029996</v>
      </c>
      <c r="AS36" s="155">
        <f>IF(AP32&lt;&gt;"Yes","***",gmcond(AM36,AN36,AM38,AN37,AP33,AP34,AP35,AP36,AP37,AP38,AP39,AP40,AP41,AP42,AQ33,AQ34,AQ35,AQ36,AQ37,AQ38,AQ39,AQ40,AQ41,AQ42,AQ32,IF(AQ32="volume%",44,45)))</f>
        <v>0.032059308376309506</v>
      </c>
      <c r="AT36" s="9"/>
      <c r="AU36" s="15" t="s">
        <v>77</v>
      </c>
      <c r="AV36" s="15"/>
      <c r="AW36" s="227">
        <v>0.03</v>
      </c>
      <c r="AX36" s="227"/>
      <c r="AY36" s="77">
        <f>IF(AU32&lt;&gt;"Yes","***",IF(OR(AU36="",AW36="",AW36&lt;=0),0,gmconv(AU33,AU34,AU35,AU36,AU37,AU38,AU39,AU40,AU41,AU42,AW33,AW34,AW35,AW36,AW37,AW38,AW39,AW40,AW41,AW42,AW32,44)))</f>
        <v>0.030003000300030006</v>
      </c>
      <c r="AZ36" s="75">
        <f>IF(AU32&lt;&gt;"Yes","***",IF(OR(AU36="",AW36="",AW36&lt;=0),0,gmconv(AU33,AU34,AU35,AU36,AU37,AU38,AU39,AU40,AU41,AU42,AW33,AW34,AW35,AW36,AW37,AW38,AW39,AW40,AW41,AW42,AW32,45)))</f>
        <v>0.047106926772496505</v>
      </c>
    </row>
    <row r="37" spans="1:52" ht="11.2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Z37" s="36"/>
      <c r="AA37" s="36"/>
      <c r="AB37" s="36"/>
      <c r="AE37" s="221" t="s">
        <v>134</v>
      </c>
      <c r="AF37" s="45" t="s">
        <v>141</v>
      </c>
      <c r="AG37" s="15"/>
      <c r="AH37" s="80">
        <v>0</v>
      </c>
      <c r="AI37" s="80"/>
      <c r="AJ37" s="116">
        <f>AH37-IF(AN38&lt;&gt;"Absolute",0,pressconv(1.033227,"kg/cm2.g",AN37))</f>
        <v>0</v>
      </c>
      <c r="AK37" s="125"/>
      <c r="AL37" s="15"/>
      <c r="AM37" s="15"/>
      <c r="AN37" s="9" t="s">
        <v>142</v>
      </c>
      <c r="AO37" s="9"/>
      <c r="AP37" s="74" t="str">
        <f>IF(AP32&lt;&gt;"Yes","***",IF(AW51&lt;&gt;"Yes",AU37,AU61))</f>
        <v>SO2</v>
      </c>
      <c r="AQ37" s="75">
        <f>IF(AP32&lt;&gt;"Yes","***",IF(AW51&lt;&gt;"Yes",IF(AQ32=AY32,AY37,AZ37),IF(AQ32=AW56,AW61,AX61)))</f>
        <v>0</v>
      </c>
      <c r="AR37" s="155">
        <f>IF(AP32&lt;&gt;"Yes","***",gmcond(AH36,AN36,AJ37,AN37,AP33,AP34,AP35,AP36,AP37,AP38,AP39,AP40,AP41,AP42,AQ33,AQ34,AQ35,AQ36,AQ37,AQ38,AQ39,AQ40,AQ41,AQ42,AQ32,IF(AQ32="volume%",54,55)))</f>
        <v>0</v>
      </c>
      <c r="AS37" s="155">
        <f>IF(AP32&lt;&gt;"Yes","***",gmcond(AM36,AN36,AM38,AN37,AP33,AP34,AP35,AP36,AP37,AP38,AP39,AP40,AP41,AP42,AQ33,AQ34,AQ35,AQ36,AQ37,AQ38,AQ39,AQ40,AQ41,AQ42,AQ32,IF(AQ32="volume%",54,55)))</f>
        <v>0</v>
      </c>
      <c r="AT37" s="9"/>
      <c r="AU37" s="15" t="s">
        <v>80</v>
      </c>
      <c r="AV37" s="15"/>
      <c r="AW37" s="227">
        <v>0</v>
      </c>
      <c r="AX37" s="227"/>
      <c r="AY37" s="77">
        <f>IF(AU32&lt;&gt;"Yes","***",IF(OR(AU37="",AW37="",AW37&lt;=0),0,gmconv(AU33,AU34,AU35,AU36,AU37,AU38,AU39,AU40,AU41,AU42,AW33,AW34,AW35,AW36,AW37,AW38,AW39,AW40,AW41,AW42,AW32,54)))</f>
        <v>0</v>
      </c>
      <c r="AZ37" s="75">
        <f>IF(AU32&lt;&gt;"Yes","***",IF(OR(AU37="",AW37="",AW37&lt;=0),0,gmconv(AU33,AU34,AU35,AU36,AU37,AU38,AU39,AU40,AU41,AU42,AW33,AW34,AW35,AW36,AW37,AW38,AW39,AW40,AW41,AW42,AW32,55)))</f>
        <v>0</v>
      </c>
    </row>
    <row r="38" spans="1:52" ht="11.25" customHeight="1">
      <c r="A38" s="36"/>
      <c r="B38" s="36"/>
      <c r="C38" s="36"/>
      <c r="D38" s="10" t="str">
        <f>D13</f>
        <v>ma</v>
      </c>
      <c r="E38" s="10" t="str">
        <f>D14</f>
        <v>h1</v>
      </c>
      <c r="F38" s="10" t="s">
        <v>182</v>
      </c>
      <c r="G38" s="10" t="str">
        <f>L13</f>
        <v>ma</v>
      </c>
      <c r="H38" s="10" t="str">
        <f>L14</f>
        <v>h2</v>
      </c>
      <c r="I38" s="10" t="s">
        <v>181</v>
      </c>
      <c r="J38" s="10" t="str">
        <f>G14</f>
        <v>Q</v>
      </c>
      <c r="K38" s="10" t="s">
        <v>181</v>
      </c>
      <c r="L38" s="10" t="str">
        <f>I19</f>
        <v>mw</v>
      </c>
      <c r="M38" s="10" t="str">
        <f>I20</f>
        <v>hw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Z38" s="36"/>
      <c r="AA38" s="36"/>
      <c r="AB38" s="36"/>
      <c r="AE38" s="221"/>
      <c r="AF38" s="121" t="s">
        <v>140</v>
      </c>
      <c r="AG38" s="15"/>
      <c r="AH38" s="15"/>
      <c r="AI38" s="124"/>
      <c r="AJ38" s="80">
        <v>0</v>
      </c>
      <c r="AK38" s="78">
        <f>AH37-AJ38</f>
        <v>0</v>
      </c>
      <c r="AL38" s="59"/>
      <c r="AM38" s="116">
        <f>AJ37-AJ38</f>
        <v>0</v>
      </c>
      <c r="AN38" s="39" t="s">
        <v>84</v>
      </c>
      <c r="AO38" s="9"/>
      <c r="AP38" s="74" t="str">
        <f>IF(AP32&lt;&gt;"Yes","***",IF(AW51&lt;&gt;"Yes",AU38,""))</f>
        <v>Ar</v>
      </c>
      <c r="AQ38" s="75">
        <f>IF(AP32&lt;&gt;"Yes","***",IF(AW51&lt;&gt;"Yes",IF(AQ32=AY32,AY38,AZ38),0))</f>
        <v>0.8500850085008501</v>
      </c>
      <c r="AR38" s="155">
        <f>IF(AP32&lt;&gt;"Yes","***",gmcond(AH36,AN36,AJ37,AN37,AP33,AP34,AP35,AP36,AP37,AP38,AP39,AP40,AP41,AP42,AQ33,AQ34,AQ35,AQ36,AQ37,AQ38,AQ39,AQ40,AQ41,AQ42,AQ32,IF(AQ32="volume%",64,65)))</f>
        <v>0.8500850085008499</v>
      </c>
      <c r="AS38" s="155">
        <f>IF(AP32&lt;&gt;"Yes","***",gmcond(AM36,AN36,AM38,AN37,AP33,AP34,AP35,AP36,AP37,AP38,AP39,AP40,AP41,AP42,AQ33,AQ34,AQ35,AQ36,AQ37,AQ38,AQ39,AQ40,AQ41,AQ42,AQ32,IF(AQ32="volume%",64,65)))</f>
        <v>0.9083470706621025</v>
      </c>
      <c r="AT38" s="9"/>
      <c r="AU38" s="15" t="s">
        <v>243</v>
      </c>
      <c r="AV38" s="15"/>
      <c r="AW38" s="227">
        <v>0.85</v>
      </c>
      <c r="AX38" s="227"/>
      <c r="AY38" s="77">
        <f>IF(AU32&lt;&gt;"Yes","***",IF(OR(AU38="",AW38="",AW38&lt;=0),0,gmconv(AU33,AU34,AU35,AU36,AU37,AU38,AU39,AU40,AU41,AU42,AW33,AW34,AW35,AW36,AW37,AW38,AW39,AW40,AW41,AW42,AW32,64)))</f>
        <v>0.8500850085008501</v>
      </c>
      <c r="AZ38" s="75">
        <f>IF(AU32&lt;&gt;"Yes","***",IF(OR(AU38="",AW38="",AW38&lt;=0),0,gmconv(AU33,AU34,AU35,AU36,AU37,AU38,AU39,AU40,AU41,AU42,AW33,AW34,AW35,AW36,AW37,AW38,AW39,AW40,AW41,AW42,AW32,65)))</f>
        <v>1.2115130297505987</v>
      </c>
    </row>
    <row r="39" spans="1:52" ht="11.25" customHeight="1">
      <c r="A39" s="36"/>
      <c r="B39" s="36"/>
      <c r="C39" s="36"/>
      <c r="D39" s="10" t="str">
        <f>D38</f>
        <v>ma</v>
      </c>
      <c r="E39" s="10" t="str">
        <f>D15</f>
        <v>W1</v>
      </c>
      <c r="F39" s="10" t="s">
        <v>182</v>
      </c>
      <c r="G39" s="10" t="str">
        <f>G38</f>
        <v>ma</v>
      </c>
      <c r="H39" s="10" t="str">
        <f>L15</f>
        <v>W2</v>
      </c>
      <c r="I39" s="36"/>
      <c r="J39" s="36"/>
      <c r="K39" s="10" t="s">
        <v>181</v>
      </c>
      <c r="L39" s="10" t="str">
        <f>L38</f>
        <v>mw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E39" s="15" t="s">
        <v>107</v>
      </c>
      <c r="AF39" s="15"/>
      <c r="AG39" s="15"/>
      <c r="AH39" s="301">
        <f>IF(AH30&lt;&gt;"Gas Mixture","***",tempconv(gmprop(AH36,AN36,AJ37,AN37,AP33,AP34,AP35,AP36,AP37,AP38,AP39,AP40,AP41,AP42,AR33,AR34,AR35,AR36,AR37,AR38,AR39,AR40,AR41,AR42,AQ32,-4),"℃",AN39))</f>
        <v>42.98586176105027</v>
      </c>
      <c r="AI39" s="301"/>
      <c r="AJ39" s="302"/>
      <c r="AK39" s="303">
        <f>IF(AH30&lt;&gt;"Gas Mixture","***",tempconv(gmprop(AM36,AN36,AM38,AN37,AP33,AP34,AP35,AP36,AP37,AP38,AP39,AP40,AP41,AP42,AS33,AS34,AS35,AS36,AS37,AS38,AS39,AS40,AS41,AS42,AQ32,-4),"℃",AN39))</f>
        <v>19.670000000000016</v>
      </c>
      <c r="AL39" s="301"/>
      <c r="AM39" s="301"/>
      <c r="AN39" s="9" t="str">
        <f>AN36</f>
        <v>℃</v>
      </c>
      <c r="AO39" s="9"/>
      <c r="AP39" s="74">
        <f>IF(AP32&lt;&gt;"Yes","***",IF(AW51&lt;&gt;"Yes",AU39,""))</f>
      </c>
      <c r="AQ39" s="75">
        <f>IF(AP32&lt;&gt;"Yes","***",IF(AW51&lt;&gt;"Yes",IF(AQ32=AY32,AY39,AZ39),0))</f>
        <v>0</v>
      </c>
      <c r="AR39" s="155">
        <f>IF(AP32&lt;&gt;"Yes","***",gmcond(AH36,AN36,AJ37,AN37,AP33,AP34,AP35,AP36,AP37,AP38,AP39,AP40,AP41,AP42,AQ33,AQ34,AQ35,AQ36,AQ37,AQ38,AQ39,AQ40,AQ41,AQ42,AQ32,IF(AQ32="volume%",74,75)))</f>
        <v>0</v>
      </c>
      <c r="AS39" s="155">
        <f>IF(AP32&lt;&gt;"Yes","***",gmcond(AM36,AN36,AM38,AN37,AP33,AP34,AP35,AP36,AP37,AP38,AP39,AP40,AP41,AP42,AQ33,AQ34,AQ35,AQ36,AQ37,AQ38,AQ39,AQ40,AQ41,AQ42,AQ32,IF(AQ32="volume%",74,75)))</f>
        <v>0</v>
      </c>
      <c r="AT39" s="9"/>
      <c r="AU39" s="15" t="s">
        <v>81</v>
      </c>
      <c r="AV39" s="15"/>
      <c r="AW39" s="227"/>
      <c r="AX39" s="227"/>
      <c r="AY39" s="77">
        <f>IF(AU32&lt;&gt;"Yes","***",IF(OR(AU39="",AW39="",AW39&lt;=0),0,gmconv(AU33,AU34,AU35,AU36,AU37,AU38,AU39,AU40,AU41,AU42,AW33,AW34,AW35,AW36,AW37,AW38,AW39,AW40,AW41,AW42,AW32,74)))</f>
        <v>0</v>
      </c>
      <c r="AZ39" s="75">
        <f>IF(AU32&lt;&gt;"Yes","***",IF(OR(AU39="",AW39="",AW39&lt;=0),0,gmconv(AU33,AU34,AU35,AU36,AU37,AU38,AU39,AU40,AU41,AU42,AW33,AW34,AW35,AW36,AW37,AW38,AW39,AW40,AW41,AW42,AW32,75)))</f>
        <v>0</v>
      </c>
    </row>
    <row r="40" spans="1:52" ht="11.2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Z40" s="36"/>
      <c r="AA40" s="36"/>
      <c r="AB40" s="36"/>
      <c r="AE40" s="15" t="s">
        <v>135</v>
      </c>
      <c r="AF40" s="15"/>
      <c r="AG40" s="15"/>
      <c r="AH40" s="229">
        <f>gmprop(AH36,AN36,AJ37,AN37,AP33,AP34,AP35,AP36,AP37,AP38,AP39,AP40,AP41,AP42,AR33,AR34,AR35,AR36,AR37,AR38,AR39,AR40,AR41,AR42,AQ32,-1)</f>
        <v>28.03040090009001</v>
      </c>
      <c r="AI40" s="229"/>
      <c r="AJ40" s="230"/>
      <c r="AK40" s="232">
        <f>gmprop(AM36,AN36,AM38,AN37,AP33,AP34,AP35,AP36,AP37,AP38,AP39,AP40,AP41,AP42,AS33,AS34,AS35,AS36,AS37,AS38,AS39,AS40,AS41,AS42,AQ32,-1)</f>
        <v>28.71681020217559</v>
      </c>
      <c r="AL40" s="229"/>
      <c r="AM40" s="229"/>
      <c r="AN40" s="9"/>
      <c r="AO40" s="9"/>
      <c r="AP40" s="74">
        <f>IF(AP32&lt;&gt;"Yes","***",IF(AW51&lt;&gt;"Yes",AU40,""))</f>
      </c>
      <c r="AQ40" s="75">
        <f>IF(AP32&lt;&gt;"Yes","***",IF(AW51&lt;&gt;"Yes",IF(AQ32=AY32,AY40,AZ40),0))</f>
        <v>0</v>
      </c>
      <c r="AR40" s="155">
        <f>IF(AP32&lt;&gt;"Yes","***",gmcond(AH36,AN36,AJ37,AN37,AP33,AP34,AP35,AP36,AP37,AP38,AP39,AP40,AP41,AP42,AQ33,AQ34,AQ35,AQ36,AQ37,AQ38,AQ39,AQ40,AQ41,AQ42,AQ32,IF(AQ32="volume%",84,85)))</f>
        <v>0</v>
      </c>
      <c r="AS40" s="155">
        <f>IF(AP32&lt;&gt;"Yes","***",gmcond(AM36,AN36,AM38,AN37,AP33,AP34,AP35,AP36,AP37,AP38,AP39,AP40,AP41,AP42,AQ33,AQ34,AQ35,AQ36,AQ37,AQ38,AQ39,AQ40,AQ41,AQ42,AQ32,IF(AQ32="volume%",84,85)))</f>
        <v>0</v>
      </c>
      <c r="AT40" s="9"/>
      <c r="AU40" s="15" t="s">
        <v>81</v>
      </c>
      <c r="AV40" s="15"/>
      <c r="AW40" s="227"/>
      <c r="AX40" s="227"/>
      <c r="AY40" s="77">
        <f>IF(AU32&lt;&gt;"Yes","***",IF(OR(AU40="",AW40="",AW40&lt;=0),0,gmconv(AU33,AU34,AU35,AU36,AU37,AU38,AU39,AU40,AU41,AU42,AW33,AW34,AW35,AW36,AW37,AW38,AW39,AW40,AW41,AW42,AW32,84)))</f>
        <v>0</v>
      </c>
      <c r="AZ40" s="75">
        <f>IF(AU32&lt;&gt;"Yes","***",IF(OR(AU40="",AW40="",AW40&lt;=0),0,gmconv(AU33,AU34,AU35,AU36,AU37,AU38,AU39,AU40,AU41,AU42,AW33,AW34,AW35,AW36,AW37,AW38,AW39,AW40,AW41,AW42,AW32,85)))</f>
        <v>0</v>
      </c>
    </row>
    <row r="41" spans="1:52" ht="11.25" customHeight="1">
      <c r="A41" s="9"/>
      <c r="B41" s="9"/>
      <c r="C41" s="58" t="s">
        <v>183</v>
      </c>
      <c r="D41" s="130" t="str">
        <f>L39</f>
        <v>mw</v>
      </c>
      <c r="E41" s="130" t="s">
        <v>182</v>
      </c>
      <c r="F41" s="130" t="str">
        <f>D39</f>
        <v>ma</v>
      </c>
      <c r="G41" s="130" t="s">
        <v>186</v>
      </c>
      <c r="H41" s="130" t="str">
        <f>E39</f>
        <v>W1</v>
      </c>
      <c r="I41" s="130" t="s">
        <v>184</v>
      </c>
      <c r="J41" s="130" t="str">
        <f>H39</f>
        <v>W2</v>
      </c>
      <c r="K41" s="130" t="s">
        <v>185</v>
      </c>
      <c r="N41" s="9"/>
      <c r="O41" s="9"/>
      <c r="P41" s="9"/>
      <c r="Q41" s="9"/>
      <c r="R41" s="9"/>
      <c r="S41" s="9"/>
      <c r="T41" s="9"/>
      <c r="U41" s="9"/>
      <c r="AE41" s="224" t="s">
        <v>129</v>
      </c>
      <c r="AF41" s="45"/>
      <c r="AG41" s="45"/>
      <c r="AH41" s="229">
        <f>gmprop(AH36,AN36,AJ37,AN37,AP33,AP34,AP35,AP36,AP37,AP38,AP39,AP40,AP41,AP42,AR33,AR34,AR35,AR36,AR37,AR38,AR39,AR40,AR41,AR42,AQ32,2)</f>
        <v>1.0570859003835213</v>
      </c>
      <c r="AI41" s="229"/>
      <c r="AJ41" s="229"/>
      <c r="AK41" s="232">
        <f>gmprop(AM36,AN36,AM38,AN37,AP33,AP34,AP35,AP36,AP37,AP38,AP39,AP40,AP41,AP42,AS33,AS34,AS35,AS36,AS37,AS38,AS39,AS40,AS41,AS42,AQ32,2)</f>
        <v>1.1951449829261604</v>
      </c>
      <c r="AL41" s="229"/>
      <c r="AM41" s="229"/>
      <c r="AN41" s="9" t="s">
        <v>123</v>
      </c>
      <c r="AO41" s="9"/>
      <c r="AP41" s="74">
        <f>IF(AP32&lt;&gt;"Yes","***",IF(AW51&lt;&gt;"Yes",AU41,""))</f>
      </c>
      <c r="AQ41" s="75">
        <f>IF(AP32&lt;&gt;"Yes","***",IF(AW51&lt;&gt;"Yes",IF(AQ32=AY32,AY41,AZ41),0))</f>
        <v>0</v>
      </c>
      <c r="AR41" s="155">
        <f>IF(AP32&lt;&gt;"Yes","***",gmcond(AH36,AN36,AJ37,AN37,AP33,AP34,AP35,AP36,AP37,AP38,AP39,AP40,AP41,AP42,AQ33,AQ34,AQ35,AQ36,AQ37,AQ38,AQ39,AQ40,AQ41,AQ42,AQ32,IF(AQ32="volume%",94,95)))</f>
        <v>0</v>
      </c>
      <c r="AS41" s="155">
        <f>IF(AP32&lt;&gt;"Yes","***",gmcond(AM36,AN36,AM38,AN37,AP33,AP34,AP35,AP36,AP37,AP38,AP39,AP40,AP41,AP42,AQ33,AQ34,AQ35,AQ36,AQ37,AQ38,AQ39,AQ40,AQ41,AQ42,AQ32,IF(AQ32="volume%",94,95)))</f>
        <v>0</v>
      </c>
      <c r="AT41" s="9"/>
      <c r="AU41" s="15" t="s">
        <v>81</v>
      </c>
      <c r="AV41" s="15"/>
      <c r="AW41" s="227"/>
      <c r="AX41" s="227"/>
      <c r="AY41" s="77">
        <f>IF(AU32&lt;&gt;"Yes","***",IF(OR(AU41="",AW41="",AW41&lt;=0),0,gmconv(AU33,AU34,AU35,AU36,AU37,AU38,AU39,AU40,AU41,AU42,AW33,AW34,AW35,AW36,AW37,AW38,AW39,AW40,AW41,AW42,AW32,94)))</f>
        <v>0</v>
      </c>
      <c r="AZ41" s="75">
        <f>IF(AU32&lt;&gt;"Yes","***",IF(OR(AU41="",AW41="",AW41&lt;=0),0,gmconv(AU33,AU34,AU35,AU36,AU37,AU38,AU39,AU40,AU41,AU42,AW33,AW34,AW35,AW36,AW37,AW38,AW39,AW40,AW41,AW42,AW32,95)))</f>
        <v>0</v>
      </c>
    </row>
    <row r="42" spans="1:52" ht="11.25" customHeight="1">
      <c r="A42" s="9"/>
      <c r="B42" s="9"/>
      <c r="C42" s="9"/>
      <c r="D42" s="130" t="str">
        <f>J38</f>
        <v>Q</v>
      </c>
      <c r="E42" s="130" t="s">
        <v>182</v>
      </c>
      <c r="F42" s="130" t="str">
        <f>D38</f>
        <v>ma</v>
      </c>
      <c r="G42" s="130" t="s">
        <v>188</v>
      </c>
      <c r="H42" s="10" t="s">
        <v>186</v>
      </c>
      <c r="I42" s="130" t="str">
        <f>E38</f>
        <v>h1</v>
      </c>
      <c r="J42" s="130" t="s">
        <v>184</v>
      </c>
      <c r="K42" s="130" t="str">
        <f>H38</f>
        <v>h2</v>
      </c>
      <c r="L42" s="130" t="s">
        <v>185</v>
      </c>
      <c r="M42" s="130" t="s">
        <v>212</v>
      </c>
      <c r="N42" s="130" t="s">
        <v>186</v>
      </c>
      <c r="O42" s="10" t="str">
        <f>E39</f>
        <v>W1</v>
      </c>
      <c r="P42" s="10" t="s">
        <v>184</v>
      </c>
      <c r="Q42" s="10" t="str">
        <f>H39</f>
        <v>W2</v>
      </c>
      <c r="R42" s="10" t="s">
        <v>213</v>
      </c>
      <c r="S42" s="130" t="str">
        <f>I17</f>
        <v>hs</v>
      </c>
      <c r="T42" s="130" t="s">
        <v>152</v>
      </c>
      <c r="U42" s="10" t="str">
        <f>I20</f>
        <v>hw</v>
      </c>
      <c r="V42" s="10" t="s">
        <v>151</v>
      </c>
      <c r="W42" s="10" t="s">
        <v>187</v>
      </c>
      <c r="AC42" s="37"/>
      <c r="AE42" s="224"/>
      <c r="AF42" s="45"/>
      <c r="AG42" s="45"/>
      <c r="AH42" s="229">
        <f>gmprop(AH36,AN36,AJ37,AN37,AP33,AP34,AP35,AP36,AP37,AP38,AP39,AP40,AP41,AP42,AR33,AR34,AR35,AR36,AR37,AR38,AR39,AR40,AR41,AR42,AQ32,-2)</f>
        <v>1.2505850584255351</v>
      </c>
      <c r="AI42" s="229"/>
      <c r="AJ42" s="230"/>
      <c r="AK42" s="232">
        <f>gmprop(AM36,AN36,AM38,AN37,AP33,AP34,AP35,AP36,AP37,AP38,AP39,AP40,AP41,AP42,AS33,AS34,AS35,AS36,AS37,AS38,AS39,AS40,AS41,AS42,AQ32,-2)</f>
        <v>1.2812094230292452</v>
      </c>
      <c r="AL42" s="229"/>
      <c r="AM42" s="229"/>
      <c r="AN42" s="9" t="s">
        <v>124</v>
      </c>
      <c r="AO42" s="9"/>
      <c r="AP42" s="47">
        <f>IF(AP32&lt;&gt;"Yes","***",IF(AW51&lt;&gt;"Yes",AU42,""))</f>
      </c>
      <c r="AQ42" s="82">
        <f>IF(AP32&lt;&gt;"Yes","***",IF(AW51&lt;&gt;"Yes",IF(AQ32=AY32,AY42,AZ42),0))</f>
        <v>0</v>
      </c>
      <c r="AR42" s="156">
        <f>IF(AP32&lt;&gt;"Yes","***",gmcond(AH36,AN36,AJ37,AN37,AP33,AP34,AP35,AP36,AP37,AP38,AP39,AP40,AP41,AP42,AQ33,AQ34,AQ35,AQ36,AQ37,AQ38,AQ39,AQ40,AQ41,AQ42,AQ32,IF(AQ32="volume%",104,105)))</f>
        <v>0</v>
      </c>
      <c r="AS42" s="155">
        <f>IF(AP32&lt;&gt;"Yes","***",gmcond(AM36,AN36,AM38,AN37,AP33,AP34,AP35,AP36,AP37,AP38,AP39,AP40,AP41,AP42,AQ33,AQ34,AQ35,AQ36,AQ37,AQ38,AQ39,AQ40,AQ41,AQ42,AQ32,IF(AQ32="volume%",104,105)))</f>
        <v>0</v>
      </c>
      <c r="AT42" s="9"/>
      <c r="AU42" s="61" t="s">
        <v>81</v>
      </c>
      <c r="AV42" s="61"/>
      <c r="AW42" s="231"/>
      <c r="AX42" s="231"/>
      <c r="AY42" s="84">
        <f>IF(AU32&lt;&gt;"Yes","***",IF(OR(AU42="",AW42="",AW42&lt;=0),0,gmconv(AU33,AU34,AU35,AU36,AU37,AU38,AU39,AU40,AU41,AU42,AW33,AW34,AW35,AW36,AW37,AW38,AW39,AW40,AW41,AW42,AW32,104)))</f>
        <v>0</v>
      </c>
      <c r="AZ42" s="82">
        <f>IF(AU32&lt;&gt;"Yes","***",IF(OR(AU42="",AW42="",AW42&lt;=0),0,gmconv(AU33,AU34,AU35,AU36,AU37,AU38,AU39,AU40,AU41,AU42,AW33,AW34,AW35,AW36,AW37,AW38,AW39,AW40,AW41,AW42,AW32,105)))</f>
        <v>0</v>
      </c>
    </row>
    <row r="43" spans="1:52" ht="11.25" customHeight="1">
      <c r="A43" s="9"/>
      <c r="B43" s="9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7"/>
      <c r="AC43" s="37"/>
      <c r="AE43" s="297" t="s">
        <v>209</v>
      </c>
      <c r="AF43" s="298"/>
      <c r="AG43" s="298"/>
      <c r="AH43" s="235">
        <f>AH32*IF(AK32="kg/h",1,IF(AK32="m3/h",1*AH41,IF(AK32="Nm3/h",1*AH42)))-AH35</f>
        <v>17970.460306519864</v>
      </c>
      <c r="AI43" s="235"/>
      <c r="AJ43" s="236"/>
      <c r="AK43" s="243">
        <f>AH32*IF(AK32="kg/h",1,IF(AK32="m3/h",1*AH41,IF(AK32="Nm3/h",1*AH42)))-AK35</f>
        <v>17240.16847416504</v>
      </c>
      <c r="AL43" s="237"/>
      <c r="AM43" s="237"/>
      <c r="AN43" s="9" t="s">
        <v>85</v>
      </c>
      <c r="AO43" s="9"/>
      <c r="AP43" s="85" t="s">
        <v>89</v>
      </c>
      <c r="AQ43" s="86">
        <f>IF(AP32&lt;&gt;"Yes","***",SUM(AQ33:AQ42))</f>
        <v>100.00000000000001</v>
      </c>
      <c r="AR43" s="86">
        <f>IF(AP32&lt;&gt;"Yes","***",SUM(AR33:AR42))</f>
        <v>99.99999999999999</v>
      </c>
      <c r="AS43" s="86">
        <f>IF(AP32&lt;&gt;"Yes","***",SUM(AS33:AS42))</f>
        <v>99.99999999999999</v>
      </c>
      <c r="AT43" s="9"/>
      <c r="AU43" s="65" t="s">
        <v>90</v>
      </c>
      <c r="AV43" s="65"/>
      <c r="AW43" s="228">
        <f>SUM(AW33:AX42)</f>
        <v>99.99</v>
      </c>
      <c r="AX43" s="228"/>
      <c r="AY43" s="87">
        <f>IF(AU32&lt;&gt;"Yes","***",SUM(AY33:AY42))</f>
        <v>100.00000000000001</v>
      </c>
      <c r="AZ43" s="86">
        <f>IF(AU32&lt;&gt;"Yes","***",SUM(AZ33:AZ42))</f>
        <v>100</v>
      </c>
    </row>
    <row r="44" spans="1:52" ht="11.25" customHeight="1">
      <c r="A44" s="9"/>
      <c r="B44" s="9"/>
      <c r="C44" s="9"/>
      <c r="D44" s="16" t="s">
        <v>248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9"/>
      <c r="AC44" s="37"/>
      <c r="AE44" s="299"/>
      <c r="AF44" s="299"/>
      <c r="AG44" s="299"/>
      <c r="AH44" s="237">
        <f>AH43/AH41</f>
        <v>17000</v>
      </c>
      <c r="AI44" s="237"/>
      <c r="AJ44" s="238"/>
      <c r="AK44" s="243">
        <f>AK43/AK41</f>
        <v>14425.169097020078</v>
      </c>
      <c r="AL44" s="237"/>
      <c r="AM44" s="237"/>
      <c r="AN44" s="39" t="s">
        <v>125</v>
      </c>
      <c r="AO44" s="9"/>
      <c r="AP44" s="13" t="str">
        <f>AU44</f>
        <v>M. Weight</v>
      </c>
      <c r="AQ44" s="88">
        <f>IF(AP32&lt;&gt;"Yes","***",gmconv(AP33,AP34,AP35,AP36,AP37,AP38,AP39,AP40,AP41,AP42,AQ33,AQ34,AQ35,AQ36,AQ37,AQ38,AQ39,AQ40,AQ41,AQ42,AQ32,-1))</f>
        <v>28.030400900090005</v>
      </c>
      <c r="AR44" s="89">
        <f>IF(AP32&lt;&gt;"Yes","***",gmconv(AP33,AP34,AP35,AP36,AP37,AP38,AP39,AP40,AP41,AP42,AR33,AR34,AR35,AR36,AR37,AR38,AR39,AR40,AR41,AR42,AQ32,-1))</f>
        <v>28.03040090009001</v>
      </c>
      <c r="AS44" s="89">
        <f>IF(AP32&lt;&gt;"Yes","***",gmconv(AP33,AP34,AP35,AP36,AP37,AP38,AP39,AP40,AP41,AP42,AS33,AS34,AS35,AS36,AS37,AS38,AS39,AS40,AS41,AS42,AQ32,-1))</f>
        <v>28.71681020217559</v>
      </c>
      <c r="AT44" s="9"/>
      <c r="AU44" s="13" t="s">
        <v>91</v>
      </c>
      <c r="AV44" s="13"/>
      <c r="AW44" s="240">
        <f>IF(AU32&lt;&gt;"Yes","***",gmconv(AU33,AU34,AU35,AU36,AU37,AU38,AU39,AU40,AU41,AU42,AW33,AW34,AW35,AW36,AW37,AW38,AW39,AW40,AW41,AW42,AW32,-1))</f>
        <v>28.030400900090015</v>
      </c>
      <c r="AX44" s="240"/>
      <c r="AY44" s="13"/>
      <c r="AZ44" s="90"/>
    </row>
    <row r="45" spans="1:52" ht="11.25" customHeight="1">
      <c r="A45" s="9"/>
      <c r="B45" s="9"/>
      <c r="C45" s="9"/>
      <c r="D45" s="13" t="str">
        <f>AE29</f>
        <v>Fluid Name</v>
      </c>
      <c r="E45" s="13"/>
      <c r="F45" s="13"/>
      <c r="G45" s="13"/>
      <c r="H45" s="13"/>
      <c r="I45" s="13"/>
      <c r="J45" s="13"/>
      <c r="K45" s="13" t="str">
        <f>AH29</f>
        <v>Flue Gas</v>
      </c>
      <c r="L45" s="13"/>
      <c r="M45" s="13"/>
      <c r="N45" s="13"/>
      <c r="O45" s="13"/>
      <c r="P45" s="13"/>
      <c r="Q45" s="13"/>
      <c r="R45" s="13"/>
      <c r="S45" s="13"/>
      <c r="T45" s="13"/>
      <c r="V45" s="36"/>
      <c r="W45" s="36"/>
      <c r="X45" s="36"/>
      <c r="Y45" s="36"/>
      <c r="AE45" s="300"/>
      <c r="AF45" s="300"/>
      <c r="AG45" s="300"/>
      <c r="AH45" s="237">
        <f>AH43/AH42</f>
        <v>14369.64258084481</v>
      </c>
      <c r="AI45" s="237"/>
      <c r="AJ45" s="238"/>
      <c r="AK45" s="243">
        <f>AK43/AK42</f>
        <v>13456.167402674113</v>
      </c>
      <c r="AL45" s="237"/>
      <c r="AM45" s="237"/>
      <c r="AN45" s="9" t="s">
        <v>208</v>
      </c>
      <c r="AO45" s="9"/>
      <c r="AP45" s="15" t="str">
        <f>AU45</f>
        <v>Density</v>
      </c>
      <c r="AQ45" s="91">
        <f>IF(AP32&lt;&gt;"Yes","***",gmconv(AP33,AP34,AP35,AP36,AP37,AP38,AP39,AP40,AP41,AP42,AQ33,AQ34,AQ35,AQ36,AQ37,AQ38,AQ39,AQ40,AQ41,AQ42,AQ32,-2))</f>
        <v>1.2505850584255347</v>
      </c>
      <c r="AR45" s="92">
        <f>IF(AP32&lt;&gt;"Yes","***",gmconv(AP33,AP34,AP35,AP36,AP37,AP38,AP39,AP40,AP41,AP42,AR33,AR34,AR35,AR36,AR37,AR38,AR39,AR40,AR41,AR42,AQ32,-2))</f>
        <v>1.2505850584255351</v>
      </c>
      <c r="AS45" s="92">
        <f>IF(AP32&lt;&gt;"Yes","***",gmconv(AP33,AP34,AP35,AP36,AP37,AP38,AP39,AP40,AP41,AP42,AS33,AS34,AS35,AS36,AS37,AS38,AS39,AS40,AS41,AS42,AQ32,-2))</f>
        <v>1.2812094230292452</v>
      </c>
      <c r="AT45" s="9" t="str">
        <f>AY45</f>
        <v>kg/Nm3</v>
      </c>
      <c r="AU45" s="15" t="s">
        <v>92</v>
      </c>
      <c r="AV45" s="15"/>
      <c r="AW45" s="229">
        <f>IF(AU32&lt;&gt;"Yes","***",gmconv(AU33,AU34,AU35,AU36,AU37,AU38,AU39,AU40,AU41,AU42,AW33,AW34,AW35,AW36,AW37,AW38,AW39,AW40,AW41,AW42,AW32,-2))</f>
        <v>1.2505850584255351</v>
      </c>
      <c r="AX45" s="229"/>
      <c r="AY45" s="15" t="s">
        <v>93</v>
      </c>
      <c r="AZ45" s="79"/>
    </row>
    <row r="46" spans="1:52" ht="11.25" customHeight="1">
      <c r="A46" s="9"/>
      <c r="B46" s="9"/>
      <c r="C46" s="9"/>
      <c r="D46" s="15"/>
      <c r="E46" s="15"/>
      <c r="F46" s="15"/>
      <c r="G46" s="15"/>
      <c r="H46" s="15"/>
      <c r="I46" s="15"/>
      <c r="J46" s="15"/>
      <c r="K46" s="225" t="s">
        <v>168</v>
      </c>
      <c r="L46" s="225"/>
      <c r="M46" s="225"/>
      <c r="N46" s="15"/>
      <c r="O46" s="225" t="s">
        <v>164</v>
      </c>
      <c r="P46" s="225"/>
      <c r="Q46" s="225"/>
      <c r="R46" s="15"/>
      <c r="S46" s="15"/>
      <c r="T46" s="15"/>
      <c r="V46" s="36"/>
      <c r="W46" s="36"/>
      <c r="X46" s="36"/>
      <c r="Y46" s="36"/>
      <c r="AC46" s="37"/>
      <c r="AE46" s="45" t="s">
        <v>136</v>
      </c>
      <c r="AF46" s="45"/>
      <c r="AG46" s="45"/>
      <c r="AH46" s="229">
        <f>gmprop(AH36,AN36,AJ37,AN37,AP33,AP34,AP35,AP36,AP37,AP38,AP39,AP40,AP41,AP42,AR33,AR34,AR35,AR36,AR37,AR38,AR39,AR40,AR41,AR42,AQ32,3)</f>
        <v>12.58362296161724</v>
      </c>
      <c r="AI46" s="229"/>
      <c r="AJ46" s="230"/>
      <c r="AK46" s="232">
        <f>gmprop(AM36,AN36,AM38,AN37,AP33,AP34,AP35,AP36,AP37,AP38,AP39,AP40,AP41,AP42,AS33,AS34,AS35,AS36,AS37,AS38,AS39,AS40,AS41,AS42,AQ32,3)</f>
        <v>4.78206464625056</v>
      </c>
      <c r="AL46" s="229"/>
      <c r="AM46" s="229"/>
      <c r="AN46" s="9" t="s">
        <v>126</v>
      </c>
      <c r="AO46" s="9"/>
      <c r="AP46" s="7" t="str">
        <f>AU46</f>
        <v>Dew Point</v>
      </c>
      <c r="AQ46" s="15"/>
      <c r="AR46" s="93" t="s">
        <v>94</v>
      </c>
      <c r="AS46" s="80">
        <f>AY46</f>
        <v>3</v>
      </c>
      <c r="AT46" s="9"/>
      <c r="AU46" s="7" t="s">
        <v>95</v>
      </c>
      <c r="AV46" s="15"/>
      <c r="AW46" s="15" t="s">
        <v>94</v>
      </c>
      <c r="AX46" s="15"/>
      <c r="AY46" s="80">
        <v>3</v>
      </c>
      <c r="AZ46" s="79"/>
    </row>
    <row r="47" spans="1:52" ht="11.25" customHeight="1">
      <c r="A47" s="36"/>
      <c r="B47" s="36"/>
      <c r="C47" s="9"/>
      <c r="D47" s="15" t="s">
        <v>163</v>
      </c>
      <c r="E47" s="15"/>
      <c r="F47" s="15"/>
      <c r="G47" s="15"/>
      <c r="H47" s="15"/>
      <c r="I47" s="15"/>
      <c r="J47" s="91"/>
      <c r="K47" s="226">
        <f>AH32</f>
        <v>17000</v>
      </c>
      <c r="L47" s="226"/>
      <c r="M47" s="226"/>
      <c r="N47" s="15"/>
      <c r="O47" s="222">
        <f>IF(R47="m3/h",O52,IF(R47="kg/h",AK43,IF(R47="Nm3/h",AK45)))</f>
        <v>14416.373808148128</v>
      </c>
      <c r="P47" s="222"/>
      <c r="Q47" s="222"/>
      <c r="R47" s="15" t="str">
        <f>AK32</f>
        <v>m3/h</v>
      </c>
      <c r="S47" s="15"/>
      <c r="T47" s="15"/>
      <c r="U47" s="37"/>
      <c r="V47" s="36"/>
      <c r="W47" s="36"/>
      <c r="X47" s="36"/>
      <c r="Y47" s="36"/>
      <c r="Z47" s="37"/>
      <c r="AA47" s="37"/>
      <c r="AB47" s="37"/>
      <c r="AC47" s="37"/>
      <c r="AE47" s="224" t="s">
        <v>137</v>
      </c>
      <c r="AF47" s="224"/>
      <c r="AG47" s="45"/>
      <c r="AH47" s="229">
        <f>gmprop(AH36,AN36,AJ37,AN37,AP33,AP34,AP35,AP36,AP37,AP38,AP39,AP40,AP41,AP42,AR33,AR34,AR35,AR36,AR37,AR38,AR39,AR40,AR41,AR42,AQ32,5)</f>
        <v>0.2521792927819902</v>
      </c>
      <c r="AI47" s="229"/>
      <c r="AJ47" s="229"/>
      <c r="AK47" s="232">
        <f>gmprop(AM36,AN36,AM38,AN37,AP33,AP34,AP35,AP36,AP37,AP38,AP39,AP40,AP41,AP42,AS33,AS34,AS35,AS36,AS37,AS38,AS39,AS40,AS41,AS42,AQ32,5)</f>
        <v>0.24318028033256997</v>
      </c>
      <c r="AL47" s="229"/>
      <c r="AM47" s="229"/>
      <c r="AN47" s="123" t="s">
        <v>127</v>
      </c>
      <c r="AO47" s="9"/>
      <c r="AP47" s="9"/>
      <c r="AQ47" s="15" t="str">
        <f>AV47</f>
        <v>Water</v>
      </c>
      <c r="AR47" s="92">
        <f>IF(AP32&lt;&gt;"Yes","***",tempconv(dewpoint(AH36,AN36,AJ37,AN37,AS46,AP33,AP34,AP35,AP36,AP37,AP38,AP39,AP40,AP41,AP42,AR33,AR34,AR35,AR36,AR37,AR38,AR39,AR40,AR41,AR42,AW32,1),"℃",AT47))</f>
        <v>42.98586176105027</v>
      </c>
      <c r="AS47" s="92">
        <f>IF(AP32&lt;&gt;"Yes","***",tempconv(dewpoint(AM36,AN36,AM38,AN37,AS46,AP33,AP34,AP35,AP36,AP37,AP38,AP39,AP40,AP41,AP42,AS33,AS34,AS35,AS36,AS37,AS38,AS39,AS40,AS41,AS42,AW32,1),"℃",AT47))</f>
        <v>19.670000000000016</v>
      </c>
      <c r="AT47" s="9" t="str">
        <f>AY47</f>
        <v>℃</v>
      </c>
      <c r="AU47" s="9"/>
      <c r="AV47" s="15" t="s">
        <v>96</v>
      </c>
      <c r="AW47" s="239">
        <f>IF(AU32&lt;&gt;"Yes","***",tempconv(dewpoint(AH36,AN36,AJ37,AN37,AY46,AU33,AU34,AU35,AU36,AU37,AU38,AU39,AU40,AU41,AU42,AW33,AW34,AW35,AW36,AW37,AW38,AW39,AW40,AW41,AW42,AW32,1),"℃",AY47))</f>
        <v>42.98586176105027</v>
      </c>
      <c r="AX47" s="239"/>
      <c r="AY47" s="94" t="s">
        <v>97</v>
      </c>
      <c r="AZ47" s="79"/>
    </row>
    <row r="48" spans="1:52" ht="11.25" customHeight="1">
      <c r="A48" s="36"/>
      <c r="B48" s="36"/>
      <c r="C48" s="9"/>
      <c r="D48" s="15" t="str">
        <f>AE36</f>
        <v>Temperature</v>
      </c>
      <c r="E48" s="15"/>
      <c r="F48" s="15"/>
      <c r="G48" s="15"/>
      <c r="H48" s="15"/>
      <c r="I48" s="15"/>
      <c r="J48" s="91" t="str">
        <f>D16</f>
        <v>T1</v>
      </c>
      <c r="K48" s="196">
        <f>AH36</f>
        <v>50</v>
      </c>
      <c r="L48" s="196"/>
      <c r="M48" s="196"/>
      <c r="N48" s="91" t="str">
        <f>L16</f>
        <v>T2</v>
      </c>
      <c r="O48" s="239">
        <f>AM36</f>
        <v>19.66999999999999</v>
      </c>
      <c r="P48" s="239"/>
      <c r="Q48" s="239"/>
      <c r="R48" s="15" t="str">
        <f>AN36</f>
        <v>℃</v>
      </c>
      <c r="S48" s="15"/>
      <c r="T48" s="15"/>
      <c r="U48" s="37"/>
      <c r="V48" s="36"/>
      <c r="W48" s="36"/>
      <c r="X48" s="36"/>
      <c r="Y48" s="36"/>
      <c r="Z48" s="37"/>
      <c r="AA48" s="37"/>
      <c r="AB48" s="37"/>
      <c r="AC48" s="37"/>
      <c r="AE48" s="224"/>
      <c r="AF48" s="224"/>
      <c r="AG48" s="45" t="s">
        <v>144</v>
      </c>
      <c r="AH48" s="229">
        <f>gmprop(AH36,AN36,AJ37,AN37,AP33,AP34,AP35,AP36,AP37,AP38,AP39,AP40,AP41,AP42,AR33,AR34,AR35,AR36,AR37,AR38,AR39,AR40,AR41,AR42,AQ32,4)</f>
        <v>0.25167245923234477</v>
      </c>
      <c r="AI48" s="229"/>
      <c r="AJ48" s="230"/>
      <c r="AK48" s="232">
        <f>gmprop(AM36,AN36,AM38,AN37,AP33,AP34,AP35,AP36,AP37,AP38,AP39,AP40,AP41,AP42,AS33,AS34,AS35,AS36,AS37,AS38,AS39,AS40,AS41,AS42,AQ32,4)</f>
        <v>0.24311462360196046</v>
      </c>
      <c r="AL48" s="229"/>
      <c r="AM48" s="229"/>
      <c r="AN48" s="123" t="str">
        <f>AN47</f>
        <v>kcal/kg.℃</v>
      </c>
      <c r="AO48" s="9"/>
      <c r="AP48" s="18"/>
      <c r="AQ48" s="61" t="str">
        <f>AV48</f>
        <v>Sulfuric</v>
      </c>
      <c r="AR48" s="95">
        <f>IF(AP32&lt;&gt;"Yes","***",tempconv(dewpoint(AH36,AN36,AJ37,AN37,AS46,AP33,AP34,AP35,AP36,AP37,AP38,AP39,AP40,AP41,AP42,AR33,AR34,AR35,AR36,AR37,AR38,AR39,AR40,AR41,AR42,AW32,2),"℃",AT48))</f>
        <v>0</v>
      </c>
      <c r="AS48" s="95">
        <f>IF(AP32&lt;&gt;"Yes","***",tempconv(dewpoint(AM36,AN36,AM38,AN37,AS46,AP33,AP34,AP35,AP36,AP37,AP38,AP39,AP40,AP41,AP42,AS33,AS34,AS35,AS36,AS37,AS38,AS39,AS40,AS41,AS42,AW32,2),"℃",AT48))</f>
        <v>0</v>
      </c>
      <c r="AT48" s="9" t="str">
        <f>AT47</f>
        <v>℃</v>
      </c>
      <c r="AU48" s="18"/>
      <c r="AV48" s="61" t="s">
        <v>98</v>
      </c>
      <c r="AW48" s="216">
        <f>IF(AU32&lt;&gt;"Yes","***",tempconv(dewpoint(AH36,AN36,AJ37,AN37,AY46,AU33,AU34,AU35,AU36,AU37,AU38,AU39,AU40,AU41,AU42,AW33,AW34,AW35,AW36,AW37,AW38,AW39,AW40,AW41,AW42,AW32,2),"℃",AY48))</f>
        <v>0</v>
      </c>
      <c r="AX48" s="216"/>
      <c r="AY48" s="61" t="str">
        <f>AY47</f>
        <v>℃</v>
      </c>
      <c r="AZ48" s="96"/>
    </row>
    <row r="49" spans="1:42" ht="11.25" customHeight="1">
      <c r="A49" s="36"/>
      <c r="B49" s="36"/>
      <c r="C49" s="36"/>
      <c r="D49" s="74" t="s">
        <v>166</v>
      </c>
      <c r="E49" s="74"/>
      <c r="F49" s="74"/>
      <c r="G49" s="74"/>
      <c r="H49" s="74"/>
      <c r="I49" s="74"/>
      <c r="J49" s="91"/>
      <c r="K49" s="196">
        <f>AJ37</f>
        <v>0</v>
      </c>
      <c r="L49" s="196"/>
      <c r="M49" s="196"/>
      <c r="N49" s="91"/>
      <c r="O49" s="196">
        <f>AM38</f>
        <v>0</v>
      </c>
      <c r="P49" s="196"/>
      <c r="Q49" s="196"/>
      <c r="R49" s="74" t="str">
        <f>AN37</f>
        <v>mmH2O</v>
      </c>
      <c r="S49" s="15"/>
      <c r="T49" s="15"/>
      <c r="U49" s="37"/>
      <c r="V49" s="36"/>
      <c r="W49" s="36"/>
      <c r="X49" s="36"/>
      <c r="Y49" s="36"/>
      <c r="Z49" s="37"/>
      <c r="AA49" s="37"/>
      <c r="AB49" s="37"/>
      <c r="AC49" s="37"/>
      <c r="AE49" s="61" t="s">
        <v>138</v>
      </c>
      <c r="AF49" s="61"/>
      <c r="AG49" s="61"/>
      <c r="AH49" s="257">
        <f>AH43*(AK46-AH46)</f>
        <v>-140197.5940352969</v>
      </c>
      <c r="AI49" s="257"/>
      <c r="AJ49" s="257"/>
      <c r="AK49" s="257"/>
      <c r="AL49" s="257"/>
      <c r="AM49" s="257"/>
      <c r="AN49" s="9" t="s">
        <v>128</v>
      </c>
      <c r="AO49" s="9"/>
      <c r="AP49" s="128" t="s">
        <v>118</v>
      </c>
    </row>
    <row r="50" spans="1:52" ht="11.25" customHeight="1">
      <c r="A50" s="9"/>
      <c r="B50" s="9"/>
      <c r="C50" s="36"/>
      <c r="D50" s="36" t="str">
        <f>AE51</f>
        <v>Relative Humidity</v>
      </c>
      <c r="E50" s="36"/>
      <c r="F50" s="36"/>
      <c r="G50" s="36"/>
      <c r="H50" s="36"/>
      <c r="I50" s="36"/>
      <c r="J50" s="36"/>
      <c r="K50" s="271">
        <f>AH51</f>
        <v>69.98375711048642</v>
      </c>
      <c r="L50" s="271"/>
      <c r="M50" s="271"/>
      <c r="N50" s="36"/>
      <c r="O50" s="271">
        <f>AK51</f>
        <v>99.99999999999999</v>
      </c>
      <c r="P50" s="271"/>
      <c r="Q50" s="271"/>
      <c r="R50" s="36" t="str">
        <f>AN51</f>
        <v>%</v>
      </c>
      <c r="S50" s="36"/>
      <c r="T50" s="36"/>
      <c r="V50" s="36"/>
      <c r="W50" s="36"/>
      <c r="X50" s="36"/>
      <c r="Y50" s="36"/>
      <c r="AC50" s="37"/>
      <c r="AE50" s="244" t="s">
        <v>154</v>
      </c>
      <c r="AF50" s="244"/>
      <c r="AG50" s="244"/>
      <c r="AH50" s="244"/>
      <c r="AI50" s="244"/>
      <c r="AJ50" s="244"/>
      <c r="AK50" s="244"/>
      <c r="AL50" s="244"/>
      <c r="AM50" s="244"/>
      <c r="AN50" s="9"/>
      <c r="AP50" s="13" t="s">
        <v>206</v>
      </c>
      <c r="AQ50" s="13"/>
      <c r="AR50" s="187">
        <f>IF(AP32&lt;&gt;"Yes","***",gmcond(AH36,AN36,AJ37,AN37,AP33,AP34,AP35,AP36,AP37,AP38,AP39,AP40,AP41,AP42,AQ33,AQ34,AQ35,AQ36,AQ37,AQ38,AQ39,AQ40,AQ41,AQ42,AQ32,-103))</f>
        <v>0</v>
      </c>
      <c r="AS50" s="186">
        <f>IF(AP32&lt;&gt;"Yes","***",gmcond(AM36,AN36,AM38,AN37,AP33,AP34,AP35,AP36,AP37,AP38,AP39,AP40,AP41,AP42,AQ33,AQ34,AQ35,AQ36,AQ37,AQ38,AQ39,AQ40,AQ41,AQ42,AQ32,-103))</f>
        <v>0.06268997888550787</v>
      </c>
      <c r="AT50" s="9"/>
      <c r="AU50" s="9"/>
      <c r="AV50" s="9"/>
      <c r="AW50" s="220" t="s">
        <v>102</v>
      </c>
      <c r="AX50" s="220"/>
      <c r="AY50" s="9"/>
      <c r="AZ50" s="9"/>
    </row>
    <row r="51" spans="1:52" ht="11.25" customHeight="1">
      <c r="A51" s="36"/>
      <c r="B51" s="36"/>
      <c r="C51" s="36"/>
      <c r="D51" s="74" t="s">
        <v>201</v>
      </c>
      <c r="E51" s="74"/>
      <c r="F51" s="74"/>
      <c r="G51" s="74"/>
      <c r="H51" s="74"/>
      <c r="I51" s="74"/>
      <c r="J51" s="91" t="str">
        <f>D15</f>
        <v>W1</v>
      </c>
      <c r="K51" s="295">
        <f>AH53</f>
        <v>0.05800846647675214</v>
      </c>
      <c r="L51" s="295"/>
      <c r="M51" s="295"/>
      <c r="N51" s="91" t="str">
        <f>L15</f>
        <v>W2</v>
      </c>
      <c r="O51" s="295">
        <f>AK53</f>
        <v>0.014393760005235139</v>
      </c>
      <c r="P51" s="295"/>
      <c r="Q51" s="295"/>
      <c r="R51" s="74" t="str">
        <f>AN53</f>
        <v>kg/kg.dry gas</v>
      </c>
      <c r="S51" s="74"/>
      <c r="T51" s="74"/>
      <c r="U51" s="37"/>
      <c r="V51" s="36"/>
      <c r="W51" s="36"/>
      <c r="X51" s="36"/>
      <c r="Y51" s="36"/>
      <c r="Z51" s="37"/>
      <c r="AA51" s="37"/>
      <c r="AB51" s="37"/>
      <c r="AC51" s="37"/>
      <c r="AE51" s="104" t="s">
        <v>223</v>
      </c>
      <c r="AF51" s="13"/>
      <c r="AG51" s="13"/>
      <c r="AH51" s="233">
        <f>gmprop(AH36,AN36,AJ37,AN37,AP33,AP34,AP35,AP36,AP37,AP38,AP39,AP40,AP41,AP42,AR33,AR34,AR35,AR36,AR37,AR38,AR39,AR40,AR41,AR42,AQ32,-3)</f>
        <v>69.98375711048642</v>
      </c>
      <c r="AI51" s="233"/>
      <c r="AJ51" s="233"/>
      <c r="AK51" s="233">
        <f>gmprop(AM36,AN36,AM38,AN37,AP33,AP34,AP35,AP36,AP37,AP38,AP39,AP40,AP41,AP42,AS33,AS34,AS35,AS36,AS37,AS38,AS39,AS40,AS41,AS42,AQ32,-3)</f>
        <v>99.99999999999999</v>
      </c>
      <c r="AL51" s="233"/>
      <c r="AM51" s="233"/>
      <c r="AN51" s="1" t="s">
        <v>224</v>
      </c>
      <c r="AP51" s="61" t="s">
        <v>99</v>
      </c>
      <c r="AQ51" s="61"/>
      <c r="AR51" s="157">
        <f>IF(AP32&lt;&gt;"Yes","***",AR50*AH45)</f>
        <v>0</v>
      </c>
      <c r="AS51" s="98">
        <f>IF(AP32&lt;&gt;"Yes","***",AH45*AS50)</f>
        <v>900.8325899854559</v>
      </c>
      <c r="AT51" s="1" t="s">
        <v>208</v>
      </c>
      <c r="AU51" s="115" t="s">
        <v>101</v>
      </c>
      <c r="AV51" s="99"/>
      <c r="AW51" s="217" t="s">
        <v>244</v>
      </c>
      <c r="AX51" s="217"/>
      <c r="AY51" s="18"/>
      <c r="AZ51" s="18"/>
    </row>
    <row r="52" spans="1:52" ht="11.25" customHeight="1">
      <c r="A52" s="36"/>
      <c r="B52" s="36"/>
      <c r="C52" s="9"/>
      <c r="D52" s="15" t="str">
        <f>D47</f>
        <v>Flowrate</v>
      </c>
      <c r="E52" s="15"/>
      <c r="F52" s="15"/>
      <c r="G52" s="15" t="s">
        <v>193</v>
      </c>
      <c r="H52" s="15"/>
      <c r="I52" s="15"/>
      <c r="J52" s="91"/>
      <c r="K52" s="246">
        <f>AH44</f>
        <v>17000</v>
      </c>
      <c r="L52" s="246"/>
      <c r="M52" s="246"/>
      <c r="N52" s="91"/>
      <c r="O52" s="246">
        <f>O54*O53</f>
        <v>14416.373808148128</v>
      </c>
      <c r="P52" s="246"/>
      <c r="Q52" s="246"/>
      <c r="R52" s="15" t="str">
        <f>AN44</f>
        <v>m3/h</v>
      </c>
      <c r="S52" s="15"/>
      <c r="T52" s="15"/>
      <c r="U52" s="37"/>
      <c r="V52" s="36"/>
      <c r="W52" s="36"/>
      <c r="X52" s="36"/>
      <c r="Y52" s="36"/>
      <c r="Z52" s="37"/>
      <c r="AA52" s="37"/>
      <c r="AB52" s="37"/>
      <c r="AC52" s="37"/>
      <c r="AE52" s="81" t="s">
        <v>155</v>
      </c>
      <c r="AF52" s="15"/>
      <c r="AG52" s="15"/>
      <c r="AH52" s="295">
        <f>gmprop(AH36,AN36,AJ37,AN37,AP33,AP34,AP35,AP36,AP37,AP38,AP39,AP40,AP41,AP42,AR33,AR34,AR35,AR36,AR37,AR38,AR39,AR40,AR41,AR42,AQ32,99)</f>
        <v>0.05482797946780587</v>
      </c>
      <c r="AI52" s="295"/>
      <c r="AJ52" s="296"/>
      <c r="AK52" s="312">
        <f>gmprop(AM36,AN36,AM38,AN37,AP33,AP34,AP35,AP36,AP37,AP38,AP39,AP40,AP41,AP42,AS33,AS34,AS35,AS36,AS37,AS38,AS39,AS40,AS41,AS42,AQ32,99)</f>
        <v>0.01418951946743132</v>
      </c>
      <c r="AL52" s="295"/>
      <c r="AM52" s="295"/>
      <c r="AN52" s="128" t="s">
        <v>158</v>
      </c>
      <c r="AP52" s="71" t="s">
        <v>207</v>
      </c>
      <c r="AQ52" s="71"/>
      <c r="AR52" s="158">
        <f>IF(AP32&lt;&gt;"Yes","***",gmcond(AH36,AN36,AJ37,AN37,AP33,AP34,AP35,AP36,AP37,AP38,AP39,AP40,AP41,AP42,AQ33,AQ34,AQ35,AQ36,AQ37,AQ38,AQ39,AQ40,AQ41,AQ42,AQ32,-113))</f>
        <v>0</v>
      </c>
      <c r="AS52" s="153">
        <f>IF(AP32&lt;&gt;"Yes","***",gmcond(AM36,AN36,AM38,AN37,AP33,AP34,AP35,AP36,AP37,AP38,AP39,AP40,AP41,AP42,AQ33,AQ34,AQ35,AQ36,AQ37,AQ38,AQ39,AQ40,AQ41,AQ42,AQ32,-113))</f>
        <v>0.04063846000037455</v>
      </c>
      <c r="AU52" s="13" t="s">
        <v>103</v>
      </c>
      <c r="AV52" s="13"/>
      <c r="AW52" s="218">
        <v>50</v>
      </c>
      <c r="AX52" s="218"/>
      <c r="AY52" s="13" t="s">
        <v>82</v>
      </c>
      <c r="AZ52" s="13"/>
    </row>
    <row r="53" spans="1:52" ht="11.25" customHeight="1">
      <c r="A53" s="36"/>
      <c r="B53" s="36"/>
      <c r="C53" s="36"/>
      <c r="D53" s="15" t="str">
        <f>AE55</f>
        <v>Specific Volume</v>
      </c>
      <c r="E53" s="15"/>
      <c r="F53" s="15"/>
      <c r="G53" s="15"/>
      <c r="H53" s="15"/>
      <c r="I53" s="15"/>
      <c r="J53" s="91"/>
      <c r="K53" s="229">
        <f>AH55</f>
        <v>1.00087274467751</v>
      </c>
      <c r="L53" s="229"/>
      <c r="M53" s="229"/>
      <c r="N53" s="91"/>
      <c r="O53" s="229">
        <f>AK55</f>
        <v>0.8487620953916578</v>
      </c>
      <c r="P53" s="229"/>
      <c r="Q53" s="229"/>
      <c r="R53" s="15" t="str">
        <f>AN55</f>
        <v>m3/kg.dry gas</v>
      </c>
      <c r="S53" s="15"/>
      <c r="T53" s="15"/>
      <c r="U53" s="37"/>
      <c r="V53" s="36"/>
      <c r="W53" s="36"/>
      <c r="X53" s="36"/>
      <c r="Y53" s="36"/>
      <c r="Z53" s="37"/>
      <c r="AA53" s="37"/>
      <c r="AB53" s="37"/>
      <c r="AC53" s="37"/>
      <c r="AE53" s="81" t="s">
        <v>156</v>
      </c>
      <c r="AF53" s="15"/>
      <c r="AG53" s="15"/>
      <c r="AH53" s="295">
        <f>gmprop(AH36,AN36,AJ37,AN37,AP33,AP34,AP35,AP36,AP37,AP38,AP39,AP40,AP41,AP42,AR33,AR34,AR35,AR36,AR37,AR38,AR39,AR40,AR41,AR42,AQ32,100)</f>
        <v>0.05800846647675214</v>
      </c>
      <c r="AI53" s="295"/>
      <c r="AJ53" s="296"/>
      <c r="AK53" s="312">
        <f>gmprop(AM36,AN36,AM38,AN37,AP33,AP34,AP35,AP36,AP37,AP38,AP39,AP40,AP41,AP42,AS33,AS34,AS35,AS36,AS37,AS38,AS39,AS40,AS41,AS42,AQ32,100)</f>
        <v>0.014393760005235139</v>
      </c>
      <c r="AL53" s="295"/>
      <c r="AM53" s="295"/>
      <c r="AN53" s="128" t="s">
        <v>159</v>
      </c>
      <c r="AP53" s="61" t="s">
        <v>99</v>
      </c>
      <c r="AQ53" s="61"/>
      <c r="AR53" s="157">
        <f>IF(AP32&lt;&gt;"Yes","***",AR52*AH32*IF(AK32="kg/h",1,IF(AK32="m3/h",1*AH41,IF(AK32="Nm3/h",1*AH42))))</f>
        <v>0</v>
      </c>
      <c r="AS53" s="98">
        <f>IF(AP32&lt;&gt;"Yes","***",AH43*AS52)</f>
        <v>730.291832354826</v>
      </c>
      <c r="AT53" s="1" t="s">
        <v>85</v>
      </c>
      <c r="AU53" s="15" t="s">
        <v>104</v>
      </c>
      <c r="AV53" s="15"/>
      <c r="AW53" s="219">
        <v>0</v>
      </c>
      <c r="AX53" s="219"/>
      <c r="AY53" s="15" t="s">
        <v>83</v>
      </c>
      <c r="AZ53" s="15"/>
    </row>
    <row r="54" spans="1:52" ht="11.25" customHeight="1">
      <c r="A54" s="36"/>
      <c r="B54" s="36"/>
      <c r="C54" s="36"/>
      <c r="D54" s="224" t="s">
        <v>163</v>
      </c>
      <c r="E54" s="224"/>
      <c r="F54" s="15"/>
      <c r="G54" s="15"/>
      <c r="H54" s="15"/>
      <c r="I54" s="15"/>
      <c r="J54" s="91" t="str">
        <f>D13</f>
        <v>ma</v>
      </c>
      <c r="K54" s="237">
        <f>K52/K53</f>
        <v>16985.176277806975</v>
      </c>
      <c r="L54" s="237"/>
      <c r="M54" s="237"/>
      <c r="N54" s="91" t="str">
        <f>L13</f>
        <v>ma</v>
      </c>
      <c r="O54" s="237">
        <f>K54</f>
        <v>16985.176277806975</v>
      </c>
      <c r="P54" s="196"/>
      <c r="Q54" s="196"/>
      <c r="R54" s="15" t="str">
        <f>AN56</f>
        <v>kg.dry gas/h</v>
      </c>
      <c r="S54" s="74"/>
      <c r="T54" s="74"/>
      <c r="U54" s="37"/>
      <c r="V54" s="36"/>
      <c r="W54" s="36"/>
      <c r="X54" s="36"/>
      <c r="Y54" s="36"/>
      <c r="Z54" s="37"/>
      <c r="AA54" s="37"/>
      <c r="AB54" s="37"/>
      <c r="AC54" s="37"/>
      <c r="AE54" s="81" t="s">
        <v>189</v>
      </c>
      <c r="AF54" s="15"/>
      <c r="AG54" s="15"/>
      <c r="AH54" s="229">
        <f>gmprop(AH36,AN36,AJ37,AN37,AP33,AP34,AP35,AP36,AP37,AP38,AP39,AP40,AP41,AP42,AR33,AR34,AR35,AR36,AR37,AR38,AR39,AR40,AR41,AR42,AQ32,102)</f>
        <v>0.9991280163415867</v>
      </c>
      <c r="AI54" s="229"/>
      <c r="AJ54" s="230"/>
      <c r="AK54" s="232">
        <f>gmprop(AM36,AN36,AM38,AN37,AP33,AP34,AP35,AP36,AP37,AP38,AP39,AP40,AP41,AP42,AS33,AS34,AS35,AS36,AS37,AS38,AS39,AS40,AS41,AS42,AQ32,102)</f>
        <v>1.178186449924527</v>
      </c>
      <c r="AL54" s="229"/>
      <c r="AM54" s="229"/>
      <c r="AN54" s="128" t="s">
        <v>191</v>
      </c>
      <c r="AP54" s="13"/>
      <c r="AQ54" s="159" t="s">
        <v>216</v>
      </c>
      <c r="AR54" s="167">
        <f>IF(AP32&lt;&gt;"Yes","***",gmcond(AH36,AN36,AJ37,AN37,AP33,AP34,AP35,AP36,AP37,AP38,AP39,AP40,AP41,AP42,AQ33,AQ34,AQ35,AQ36,AQ37,AQ38,AQ39,AQ40,AQ41,AQ42,AQ32,-101))</f>
        <v>0.08530853085308529</v>
      </c>
      <c r="AS54" s="167">
        <f>IF(AP32&lt;&gt;"Yes","***",gmcond(AM36,AN36,AM38,AN37,AP33,AP34,AP35,AP36,AP37,AP38,AP39,AP40,AP41,AP42,AQ33,AQ34,AQ35,AQ36,AQ37,AQ38,AQ39,AQ40,AQ41,AQ42,AQ32,-101))</f>
        <v>0.08530853085308529</v>
      </c>
      <c r="AU54" s="15" t="s">
        <v>105</v>
      </c>
      <c r="AV54" s="15"/>
      <c r="AW54" s="219">
        <v>70</v>
      </c>
      <c r="AX54" s="219"/>
      <c r="AY54" s="15" t="s">
        <v>106</v>
      </c>
      <c r="AZ54" s="149" t="s">
        <v>195</v>
      </c>
    </row>
    <row r="55" spans="1:52" ht="11.25" customHeight="1">
      <c r="A55" s="36"/>
      <c r="B55" s="36"/>
      <c r="C55" s="36"/>
      <c r="D55" s="224"/>
      <c r="E55" s="224"/>
      <c r="F55" s="74"/>
      <c r="G55" s="74"/>
      <c r="H55" s="74"/>
      <c r="I55" s="74"/>
      <c r="J55" s="74"/>
      <c r="K55" s="74"/>
      <c r="L55" s="74"/>
      <c r="M55" s="74"/>
      <c r="N55" s="91" t="str">
        <f>I19</f>
        <v>mw</v>
      </c>
      <c r="O55" s="237">
        <f>K54*(K51-O51)</f>
        <v>740.8034777235249</v>
      </c>
      <c r="P55" s="237"/>
      <c r="Q55" s="237"/>
      <c r="R55" s="74" t="s">
        <v>85</v>
      </c>
      <c r="S55" s="74"/>
      <c r="T55" s="74"/>
      <c r="U55" s="37"/>
      <c r="V55" s="36"/>
      <c r="W55" s="36"/>
      <c r="X55" s="36"/>
      <c r="Y55" s="36"/>
      <c r="Z55" s="37"/>
      <c r="AA55" s="37"/>
      <c r="AB55" s="37"/>
      <c r="AC55" s="36"/>
      <c r="AE55" s="81" t="s">
        <v>190</v>
      </c>
      <c r="AF55" s="15"/>
      <c r="AG55" s="15"/>
      <c r="AH55" s="229">
        <f>gmprop(AH36,AN36,AJ37,AN37,AP33,AP34,AP35,AP36,AP37,AP38,AP39,AP40,AP41,AP42,AR33,AR34,AR35,AR36,AR37,AR38,AR39,AR40,AR41,AR42,AQ32,101)</f>
        <v>1.00087274467751</v>
      </c>
      <c r="AI55" s="229"/>
      <c r="AJ55" s="230"/>
      <c r="AK55" s="232">
        <f>gmprop(AM36,AN36,AM38,AN37,AP33,AP34,AP35,AP36,AP37,AP38,AP39,AP40,AP41,AP42,AS33,AS34,AS35,AS36,AS37,AS38,AS39,AS40,AS41,AS42,AQ32,101)</f>
        <v>0.8487620953916578</v>
      </c>
      <c r="AL55" s="229"/>
      <c r="AM55" s="229"/>
      <c r="AN55" s="128" t="s">
        <v>192</v>
      </c>
      <c r="AP55" s="15"/>
      <c r="AQ55" s="160" t="s">
        <v>215</v>
      </c>
      <c r="AR55" s="168">
        <f>IF(AP32&lt;&gt;"Yes","***",gmcond(AH36,AN36,AJ37,AN37,AP33,AP34,AP35,AP36,AP37,AP38,AP39,AP40,AP41,AP42,AQ33,AQ34,AQ35,AQ36,AQ37,AQ38,AQ39,AQ40,AQ41,AQ42,AQ32,-102))</f>
        <v>0.12189761506860083</v>
      </c>
      <c r="AS55" s="168">
        <f>IF(AP32&lt;&gt;"Yes","***",gmcond(AM36,AN36,AM38,AN37,AP33,AP34,AP35,AP36,AP37,AP38,AP39,AP40,AP41,AP42,AQ33,AQ34,AQ35,AQ36,AQ37,AQ38,AQ39,AQ40,AQ41,AQ42,AQ32,-102))</f>
        <v>0.02261855196757743</v>
      </c>
      <c r="AU55" s="61" t="s">
        <v>107</v>
      </c>
      <c r="AV55" s="61"/>
      <c r="AW55" s="216">
        <f>maprop(AW52,AY52,AW54,AW53,AY53,0)</f>
        <v>42.990309828053455</v>
      </c>
      <c r="AX55" s="216"/>
      <c r="AY55" s="100" t="s">
        <v>108</v>
      </c>
      <c r="AZ55" s="101">
        <f>tempconv(rh_twb(AW52,AY52,AW54,0,AW53,AY53,0,1),"℃",AY55)</f>
        <v>43.834000000000024</v>
      </c>
    </row>
    <row r="56" spans="1:52" ht="11.25" customHeight="1">
      <c r="A56" s="36"/>
      <c r="B56" s="36"/>
      <c r="C56" s="36"/>
      <c r="D56" s="221" t="s">
        <v>162</v>
      </c>
      <c r="E56" s="221"/>
      <c r="F56" s="74"/>
      <c r="G56" s="74"/>
      <c r="H56" s="74"/>
      <c r="I56" s="74"/>
      <c r="J56" s="91" t="str">
        <f>D14</f>
        <v>h1</v>
      </c>
      <c r="K56" s="215">
        <f>AH57</f>
        <v>13.3135796323423</v>
      </c>
      <c r="L56" s="215"/>
      <c r="M56" s="215"/>
      <c r="N56" s="91" t="str">
        <f>L14</f>
        <v>h2</v>
      </c>
      <c r="O56" s="215">
        <f>AK57</f>
        <v>4.85089653709821</v>
      </c>
      <c r="P56" s="215"/>
      <c r="Q56" s="215"/>
      <c r="R56" s="74" t="str">
        <f>AN57</f>
        <v>kcal/kg.dry gas</v>
      </c>
      <c r="S56" s="74"/>
      <c r="T56" s="74"/>
      <c r="U56" s="36"/>
      <c r="V56" s="37"/>
      <c r="W56" s="37"/>
      <c r="X56" s="37"/>
      <c r="Y56" s="37"/>
      <c r="Z56" s="37"/>
      <c r="AA56" s="37"/>
      <c r="AB56" s="37"/>
      <c r="AC56" s="36"/>
      <c r="AE56" s="81" t="s">
        <v>165</v>
      </c>
      <c r="AF56" s="15"/>
      <c r="AG56" s="15"/>
      <c r="AH56" s="235">
        <f>AH44/AH55</f>
        <v>16985.176277806975</v>
      </c>
      <c r="AI56" s="235"/>
      <c r="AJ56" s="236"/>
      <c r="AK56" s="243">
        <f>AK44/AK55</f>
        <v>16995.53876797908</v>
      </c>
      <c r="AL56" s="237"/>
      <c r="AM56" s="237"/>
      <c r="AN56" s="129" t="s">
        <v>161</v>
      </c>
      <c r="AP56" s="15"/>
      <c r="AQ56" s="160" t="s">
        <v>217</v>
      </c>
      <c r="AR56" s="168">
        <f>IF(AP32&lt;&gt;"Yes","***",gmcond(AH36,AN36,AJ37,AN37,AP33,AP34,AP35,AP36,AP37,AP38,AP39,AP40,AP41,AP42,AQ33,AQ34,AQ35,AQ36,AQ37,AQ38,AQ39,AQ40,AQ41,AQ42,AQ32,-111))</f>
        <v>0.054827979467805876</v>
      </c>
      <c r="AS56" s="168">
        <f>IF(AP32&lt;&gt;"Yes","***",gmcond(AM36,AN36,AM38,AN37,AP33,AP34,AP35,AP36,AP37,AP38,AP39,AP40,AP41,AP42,AQ33,AQ34,AQ35,AQ36,AQ37,AQ38,AQ39,AQ40,AQ41,AQ42,AQ32,-111))</f>
        <v>0.054827979467805876</v>
      </c>
      <c r="AU56" s="65" t="s">
        <v>109</v>
      </c>
      <c r="AV56" s="65"/>
      <c r="AW56" s="102" t="s">
        <v>110</v>
      </c>
      <c r="AX56" s="103" t="s">
        <v>111</v>
      </c>
      <c r="AY56" s="85"/>
      <c r="AZ56" s="111" t="s">
        <v>117</v>
      </c>
    </row>
    <row r="57" spans="1:52" ht="11.25" customHeight="1">
      <c r="A57" s="36"/>
      <c r="B57" s="36"/>
      <c r="C57" s="36"/>
      <c r="D57" s="221"/>
      <c r="E57" s="221"/>
      <c r="F57" s="74"/>
      <c r="G57" s="74"/>
      <c r="H57" s="74"/>
      <c r="I57" s="74"/>
      <c r="J57" s="91" t="str">
        <f>I17</f>
        <v>hs</v>
      </c>
      <c r="K57" s="239">
        <f>AH58</f>
        <v>605.9208447259177</v>
      </c>
      <c r="L57" s="239"/>
      <c r="M57" s="239"/>
      <c r="N57" s="91" t="str">
        <f>I20</f>
        <v>hw</v>
      </c>
      <c r="O57" s="239">
        <f>AK58</f>
        <v>19.736323067943673</v>
      </c>
      <c r="P57" s="239"/>
      <c r="Q57" s="239"/>
      <c r="R57" s="74" t="str">
        <f>AN58</f>
        <v>kcal/kg</v>
      </c>
      <c r="S57" s="74"/>
      <c r="T57" s="74"/>
      <c r="U57" s="36"/>
      <c r="V57" s="37"/>
      <c r="W57" s="37"/>
      <c r="X57" s="37"/>
      <c r="Y57" s="37"/>
      <c r="Z57" s="37"/>
      <c r="AA57" s="37"/>
      <c r="AB57" s="37"/>
      <c r="AC57" s="36"/>
      <c r="AE57" s="81" t="s">
        <v>157</v>
      </c>
      <c r="AF57" s="15"/>
      <c r="AG57" s="15"/>
      <c r="AH57" s="229">
        <f>gmprop(AH36,AN36,AJ37,AN37,AP33,AP34,AP35,AP36,AP37,AP38,AP39,AP40,AP41,AP42,AR33,AR34,AR35,AR36,AR37,AR38,AR39,AR40,AR41,AR42,AQ32,104)</f>
        <v>13.3135796323423</v>
      </c>
      <c r="AI57" s="229"/>
      <c r="AJ57" s="230"/>
      <c r="AK57" s="232">
        <f>gmprop(AM36,AN36,AM38,AN37,AP33,AP34,AP35,AP36,AP37,AP38,AP39,AP40,AP41,AP42,AS33,AS34,AS35,AS36,AS37,AS38,AS39,AS40,AS41,AS42,AQ32,104)</f>
        <v>4.85089653709821</v>
      </c>
      <c r="AL57" s="229"/>
      <c r="AM57" s="229"/>
      <c r="AN57" s="128" t="s">
        <v>160</v>
      </c>
      <c r="AP57" s="15"/>
      <c r="AQ57" s="160" t="s">
        <v>203</v>
      </c>
      <c r="AR57" s="168">
        <f>IF(AP32&lt;&gt;"Yes","***",gmcond(AH36,AN36,AJ37,AN37,AP33,AP34,AP35,AP36,AP37,AP38,AP39,AP40,AP41,AP42,AQ33,AQ34,AQ35,AQ36,AQ37,AQ38,AQ39,AQ40,AQ41,AQ42,AQ32,-112))</f>
        <v>0.0794798269490418</v>
      </c>
      <c r="AS57" s="168">
        <f>IF(AP32&lt;&gt;"Yes","***",gmcond(AM36,AN36,AM38,AN37,AP33,AP34,AP35,AP36,AP37,AP38,AP39,AP40,AP41,AP42,AQ33,AQ34,AQ35,AQ36,AQ37,AQ38,AQ39,AQ40,AQ41,AQ42,AQ32,-112))</f>
        <v>0.014189519467431324</v>
      </c>
      <c r="AU57" s="104" t="s">
        <v>112</v>
      </c>
      <c r="AV57" s="13"/>
      <c r="AW57" s="69">
        <f>((fprop("Saturated","H2O L.P.",AW52,AY52,0,"","Yes",0,1,10)+1.033227)*AW54/100)/(pressconv(AW53,AY53,"kg/cm2.g")+1.033227)*100</f>
        <v>8.532833054802058</v>
      </c>
      <c r="AX57" s="69">
        <f>gmconv(AU57,AU58,AU59,AU60,AU61,"","","","","",AW57,AW58,AW59,AW60,AW61,"","","","","",AW56,15)</f>
        <v>5.484059302415231</v>
      </c>
      <c r="AY57" s="105"/>
      <c r="AZ57" s="112">
        <v>0</v>
      </c>
    </row>
    <row r="58" spans="1:52" ht="11.25" customHeight="1">
      <c r="A58" s="36"/>
      <c r="B58" s="36"/>
      <c r="C58" s="36"/>
      <c r="D58" s="47" t="str">
        <f>AE59</f>
        <v>Heat Load</v>
      </c>
      <c r="E58" s="47"/>
      <c r="F58" s="47"/>
      <c r="G58" s="47"/>
      <c r="H58" s="47"/>
      <c r="I58" s="47"/>
      <c r="J58" s="35" t="str">
        <f>G14</f>
        <v>Q</v>
      </c>
      <c r="K58" s="269">
        <f>K54*((O56-K56)+(K51-O51)*(O57-K57))</f>
        <v>-577987.6963878662</v>
      </c>
      <c r="L58" s="269"/>
      <c r="M58" s="269"/>
      <c r="N58" s="152" t="s">
        <v>205</v>
      </c>
      <c r="O58" s="270">
        <f>K58/860</f>
        <v>-672.078716730077</v>
      </c>
      <c r="P58" s="270"/>
      <c r="Q58" s="270"/>
      <c r="R58" s="47" t="str">
        <f>AN59&amp;" / kW"</f>
        <v>kcal/h / kW</v>
      </c>
      <c r="S58" s="47"/>
      <c r="T58" s="47"/>
      <c r="U58" s="36"/>
      <c r="V58" s="37"/>
      <c r="W58" s="37"/>
      <c r="X58" s="37"/>
      <c r="Y58" s="37"/>
      <c r="Z58" s="37"/>
      <c r="AA58" s="37"/>
      <c r="AB58" s="37"/>
      <c r="AC58" s="36"/>
      <c r="AE58" s="81" t="s">
        <v>210</v>
      </c>
      <c r="AF58" s="15"/>
      <c r="AG58" s="15"/>
      <c r="AH58" s="239">
        <f>IAPWS_IF97((pressconv(AJ37,AN37,"kg/cm2.g")+1.033227)*AS55-1.033227,"kg/cm2.g",0,AN36,13)</f>
        <v>605.9208447259177</v>
      </c>
      <c r="AI58" s="239"/>
      <c r="AJ58" s="261"/>
      <c r="AK58" s="262">
        <f>IAPWS_IF97(AM38,AN37,AM36,AN36,3)</f>
        <v>19.736323067943673</v>
      </c>
      <c r="AL58" s="239"/>
      <c r="AM58" s="239"/>
      <c r="AN58" s="1" t="s">
        <v>211</v>
      </c>
      <c r="AP58" s="61"/>
      <c r="AQ58" s="161" t="s">
        <v>204</v>
      </c>
      <c r="AR58" s="169">
        <f>IF(AP32&lt;&gt;"Yes","***",gmcond(AH36,AN36,AJ37,AN37,AP33,AP34,AP35,AP36,AP37,AP38,AP39,AP40,AP41,AP42,AQ33,AQ34,AQ35,AQ36,AQ37,AQ38,AQ39,AQ40,AQ41,AQ42,AQ32,-114))</f>
        <v>0.08634229783972584</v>
      </c>
      <c r="AS58" s="169">
        <f>IF(AP32&lt;&gt;"Yes","***",gmcond(AM36,AN36,AM38,AN37,AP33,AP34,AP35,AP36,AP37,AP38,AP39,AP40,AP41,AP42,AQ33,AQ34,AQ35,AQ36,AQ37,AQ38,AQ39,AQ40,AQ41,AQ42,AQ32,-114))</f>
        <v>0.014393760005235142</v>
      </c>
      <c r="AU58" s="81" t="s">
        <v>113</v>
      </c>
      <c r="AV58" s="15"/>
      <c r="AW58" s="75">
        <f>(100-AW57)*AZ58/AZ62</f>
        <v>71.42336533844852</v>
      </c>
      <c r="AX58" s="75">
        <f>gmconv(AU57,AU58,AU59,AU60,AU61,"","","","","",AW57,AW58,AW59,AW60,AW61,"","","","","",AW56,25)</f>
        <v>71.37990043656508</v>
      </c>
      <c r="AY58" s="106"/>
      <c r="AZ58" s="60">
        <v>78.084</v>
      </c>
    </row>
    <row r="59" spans="1:52" ht="11.2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E59" s="107" t="s">
        <v>170</v>
      </c>
      <c r="AF59" s="61"/>
      <c r="AG59" s="61"/>
      <c r="AH59" s="257">
        <f>AH56*((AK57-AH57)+(AH53-AK53)*(AK58-AH58))</f>
        <v>-577987.6963878662</v>
      </c>
      <c r="AI59" s="257"/>
      <c r="AJ59" s="257"/>
      <c r="AK59" s="257"/>
      <c r="AL59" s="257"/>
      <c r="AM59" s="257"/>
      <c r="AN59" s="9" t="str">
        <f>AN49</f>
        <v>kcal/h</v>
      </c>
      <c r="AU59" s="81" t="s">
        <v>114</v>
      </c>
      <c r="AV59" s="15"/>
      <c r="AW59" s="75">
        <f>(100-AW57)*AZ59/AZ62</f>
        <v>19.160751085544852</v>
      </c>
      <c r="AX59" s="75">
        <f>gmconv(AU57,AU58,AU59,AU60,AU61,"","","","","",AW57,AW58,AW59,AW60,AW61,"","","","","",AW56,35)</f>
        <v>21.873386493551784</v>
      </c>
      <c r="AY59" s="106"/>
      <c r="AZ59" s="60">
        <v>20.9476</v>
      </c>
    </row>
    <row r="60" spans="1:52" ht="11.25" customHeight="1">
      <c r="A60" s="36"/>
      <c r="B60" s="36"/>
      <c r="C60" s="36"/>
      <c r="D60" s="36" t="str">
        <f>"* Latent heat is not included in "&amp;D56&amp;" "&amp;J56&amp;" and "&amp;N56&amp;"."</f>
        <v>* Latent heat is not included in Enthalpy h1 and h2.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N60" s="9"/>
      <c r="AU60" s="81" t="s">
        <v>115</v>
      </c>
      <c r="AV60" s="15"/>
      <c r="AW60" s="75">
        <f>(100-AW57)*AZ60/AZ62</f>
        <v>0.8543289691372229</v>
      </c>
      <c r="AX60" s="75">
        <f>gmconv(AU57,AU58,AU59,AU60,AU61,"","","","","",AW57,AW58,AW59,AW60,AW61,"","","","","",AW56,45)</f>
        <v>1.2175589009720638</v>
      </c>
      <c r="AY60" s="106"/>
      <c r="AZ60" s="60">
        <v>0.934</v>
      </c>
    </row>
    <row r="61" spans="29:52" ht="11.25" customHeight="1">
      <c r="AC61" s="36"/>
      <c r="AE61" s="9"/>
      <c r="AN61" s="9"/>
      <c r="AS61" s="9"/>
      <c r="AU61" s="107" t="s">
        <v>116</v>
      </c>
      <c r="AV61" s="61"/>
      <c r="AW61" s="82">
        <f>(100-AW57)*AZ61/AZ62</f>
        <v>0.028721552067354175</v>
      </c>
      <c r="AX61" s="82">
        <f>gmconv(AU57,AU58,AU59,AU60,AU61,"","","","","",AW57,AW58,AW59,AW60,AW61,"","","","","",AW56,55)</f>
        <v>0.04509486649582386</v>
      </c>
      <c r="AY61" s="108"/>
      <c r="AZ61" s="113">
        <v>0.0314</v>
      </c>
    </row>
    <row r="62" spans="1:52" ht="11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36"/>
      <c r="AD62" s="9"/>
      <c r="AE62" s="9"/>
      <c r="AN62" s="9"/>
      <c r="AS62" s="9"/>
      <c r="AU62" s="65" t="s">
        <v>90</v>
      </c>
      <c r="AV62" s="65"/>
      <c r="AW62" s="86">
        <f>SUM(AW57:AW61)</f>
        <v>100</v>
      </c>
      <c r="AX62" s="109">
        <f>SUM(AX57:AX61)</f>
        <v>100</v>
      </c>
      <c r="AY62" s="110"/>
      <c r="AZ62" s="111">
        <f>SUM(AZ57:AZ61)</f>
        <v>99.997</v>
      </c>
    </row>
    <row r="63" spans="1:30" ht="11.25" customHeight="1">
      <c r="A63" s="9" t="str">
        <f>cosymbol</f>
        <v> NTES</v>
      </c>
      <c r="AB63" s="41" t="str">
        <f>coname</f>
        <v>Narai Thermal engineering Services </v>
      </c>
      <c r="AC63" s="9"/>
      <c r="AD63" s="9"/>
    </row>
    <row r="64" ht="11.25" customHeight="1"/>
    <row r="65" spans="1:28" ht="11.25">
      <c r="A65" s="36"/>
      <c r="B65" s="36"/>
      <c r="C65" s="36"/>
      <c r="D65" s="123"/>
      <c r="E65" s="123"/>
      <c r="F65" s="74"/>
      <c r="G65" s="74"/>
      <c r="H65" s="74"/>
      <c r="I65" s="74"/>
      <c r="J65" s="74"/>
      <c r="K65" s="215">
        <f>K56*4.1868</f>
        <v>55.74129520469074</v>
      </c>
      <c r="L65" s="215"/>
      <c r="M65" s="215"/>
      <c r="N65" s="74"/>
      <c r="O65" s="215">
        <f>O56*4.1868</f>
        <v>20.309733621522785</v>
      </c>
      <c r="P65" s="215"/>
      <c r="Q65" s="215"/>
      <c r="R65" s="74" t="s">
        <v>227</v>
      </c>
      <c r="S65" s="74"/>
      <c r="T65" s="74"/>
      <c r="U65" s="36"/>
      <c r="V65" s="37"/>
      <c r="W65" s="37"/>
      <c r="X65" s="37"/>
      <c r="Y65" s="37"/>
      <c r="Z65" s="37"/>
      <c r="AA65" s="37"/>
      <c r="AB65" s="37"/>
    </row>
    <row r="111" ht="13.5" customHeight="1"/>
    <row r="112" ht="13.5" customHeight="1"/>
  </sheetData>
  <mergeCells count="122">
    <mergeCell ref="AE37:AE38"/>
    <mergeCell ref="Q24:R24"/>
    <mergeCell ref="T24:U24"/>
    <mergeCell ref="W24:X24"/>
    <mergeCell ref="K65:M65"/>
    <mergeCell ref="O65:Q65"/>
    <mergeCell ref="K57:M57"/>
    <mergeCell ref="O57:Q57"/>
    <mergeCell ref="AH46:AJ46"/>
    <mergeCell ref="K49:M49"/>
    <mergeCell ref="K58:M58"/>
    <mergeCell ref="O58:Q58"/>
    <mergeCell ref="K54:M54"/>
    <mergeCell ref="O54:Q54"/>
    <mergeCell ref="K56:M56"/>
    <mergeCell ref="O56:Q56"/>
    <mergeCell ref="AK47:AM47"/>
    <mergeCell ref="O49:Q49"/>
    <mergeCell ref="AK46:AM46"/>
    <mergeCell ref="K53:M53"/>
    <mergeCell ref="O47:Q47"/>
    <mergeCell ref="K50:M50"/>
    <mergeCell ref="O50:Q50"/>
    <mergeCell ref="K51:M51"/>
    <mergeCell ref="O51:Q51"/>
    <mergeCell ref="AH47:AJ47"/>
    <mergeCell ref="AH57:AJ57"/>
    <mergeCell ref="AK57:AM57"/>
    <mergeCell ref="AK51:AM51"/>
    <mergeCell ref="AK56:AM56"/>
    <mergeCell ref="AK52:AM52"/>
    <mergeCell ref="AH55:AJ55"/>
    <mergeCell ref="AK55:AM55"/>
    <mergeCell ref="AK54:AM54"/>
    <mergeCell ref="AH53:AJ53"/>
    <mergeCell ref="AK53:AM53"/>
    <mergeCell ref="X1:AB1"/>
    <mergeCell ref="X2:AB2"/>
    <mergeCell ref="A2:T4"/>
    <mergeCell ref="AH29:AM29"/>
    <mergeCell ref="I19:J19"/>
    <mergeCell ref="I17:J17"/>
    <mergeCell ref="I20:J20"/>
    <mergeCell ref="Q23:R23"/>
    <mergeCell ref="T23:U23"/>
    <mergeCell ref="W23:X23"/>
    <mergeCell ref="AP29:AS29"/>
    <mergeCell ref="AH30:AM30"/>
    <mergeCell ref="AP30:AS30"/>
    <mergeCell ref="AH31:AJ31"/>
    <mergeCell ref="AK31:AM31"/>
    <mergeCell ref="AU31:AZ31"/>
    <mergeCell ref="AH32:AJ32"/>
    <mergeCell ref="AQ32:AS32"/>
    <mergeCell ref="AW32:AX32"/>
    <mergeCell ref="AW33:AX33"/>
    <mergeCell ref="AH34:AJ34"/>
    <mergeCell ref="AK34:AM34"/>
    <mergeCell ref="AW34:AX34"/>
    <mergeCell ref="AK33:AM33"/>
    <mergeCell ref="AH33:AJ33"/>
    <mergeCell ref="AW35:AX35"/>
    <mergeCell ref="AH36:AJ36"/>
    <mergeCell ref="AW36:AX36"/>
    <mergeCell ref="AH35:AJ35"/>
    <mergeCell ref="AK35:AM35"/>
    <mergeCell ref="AW37:AX37"/>
    <mergeCell ref="AW38:AX38"/>
    <mergeCell ref="AH39:AJ39"/>
    <mergeCell ref="AK39:AM39"/>
    <mergeCell ref="AW39:AX39"/>
    <mergeCell ref="AE41:AE42"/>
    <mergeCell ref="AH42:AJ42"/>
    <mergeCell ref="AK42:AM42"/>
    <mergeCell ref="AH41:AJ41"/>
    <mergeCell ref="AK41:AM41"/>
    <mergeCell ref="AH44:AJ44"/>
    <mergeCell ref="AK44:AM44"/>
    <mergeCell ref="AW44:AX44"/>
    <mergeCell ref="AH40:AJ40"/>
    <mergeCell ref="AK40:AM40"/>
    <mergeCell ref="AW40:AX40"/>
    <mergeCell ref="AW41:AX41"/>
    <mergeCell ref="AW42:AX42"/>
    <mergeCell ref="AH43:AJ43"/>
    <mergeCell ref="AK43:AM43"/>
    <mergeCell ref="AW43:AX43"/>
    <mergeCell ref="AW45:AX45"/>
    <mergeCell ref="AE47:AF48"/>
    <mergeCell ref="AH48:AJ48"/>
    <mergeCell ref="AK48:AM48"/>
    <mergeCell ref="AW47:AX47"/>
    <mergeCell ref="AK45:AM45"/>
    <mergeCell ref="AH45:AJ45"/>
    <mergeCell ref="AE43:AG45"/>
    <mergeCell ref="AW48:AX48"/>
    <mergeCell ref="AW52:AX52"/>
    <mergeCell ref="AH59:AM59"/>
    <mergeCell ref="AW54:AX54"/>
    <mergeCell ref="AW55:AX55"/>
    <mergeCell ref="AH58:AJ58"/>
    <mergeCell ref="AK58:AM58"/>
    <mergeCell ref="AH54:AJ54"/>
    <mergeCell ref="AH56:AJ56"/>
    <mergeCell ref="AW53:AX53"/>
    <mergeCell ref="AH52:AJ52"/>
    <mergeCell ref="AW50:AX50"/>
    <mergeCell ref="AW51:AX51"/>
    <mergeCell ref="K46:M46"/>
    <mergeCell ref="O46:Q46"/>
    <mergeCell ref="K47:M47"/>
    <mergeCell ref="K48:M48"/>
    <mergeCell ref="O48:Q48"/>
    <mergeCell ref="AH51:AJ51"/>
    <mergeCell ref="AH49:AM49"/>
    <mergeCell ref="AE50:AM50"/>
    <mergeCell ref="D56:E57"/>
    <mergeCell ref="K52:M52"/>
    <mergeCell ref="O52:Q52"/>
    <mergeCell ref="D54:E55"/>
    <mergeCell ref="O55:Q55"/>
    <mergeCell ref="O53:Q53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F63"/>
  <sheetViews>
    <sheetView view="pageBreakPreview" zoomScaleSheetLayoutView="100" workbookViewId="0" topLeftCell="A1">
      <selection activeCell="W4" sqref="W4"/>
    </sheetView>
  </sheetViews>
  <sheetFormatPr defaultColWidth="8.88671875" defaultRowHeight="13.5"/>
  <cols>
    <col min="1" max="30" width="2.77734375" style="1" customWidth="1"/>
    <col min="31" max="63" width="3.77734375" style="1" customWidth="1"/>
    <col min="64" max="16384" width="8.88671875" style="1" customWidth="1"/>
  </cols>
  <sheetData>
    <row r="1" spans="1:32" ht="11.25" customHeight="1">
      <c r="A1" s="19"/>
      <c r="B1" s="19" t="str">
        <f>title2&amp;"  :"</f>
        <v>Technical Guide  :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42" t="s">
        <v>17</v>
      </c>
      <c r="V1" s="43"/>
      <c r="W1" s="43"/>
      <c r="X1" s="211" t="str">
        <f>docno</f>
        <v>TG - WSP - 100</v>
      </c>
      <c r="Y1" s="204"/>
      <c r="Z1" s="204"/>
      <c r="AA1" s="204"/>
      <c r="AB1" s="204"/>
      <c r="AC1" s="24"/>
      <c r="AD1" s="25"/>
      <c r="AE1" s="25"/>
      <c r="AF1" s="25"/>
    </row>
    <row r="2" spans="1:32" ht="11.25" customHeight="1">
      <c r="A2" s="207" t="str">
        <f>title</f>
        <v>White Smoke Prevention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8"/>
      <c r="U2" s="44" t="s">
        <v>18</v>
      </c>
      <c r="V2" s="45"/>
      <c r="W2" s="45"/>
      <c r="X2" s="212" t="s">
        <v>29</v>
      </c>
      <c r="Y2" s="205"/>
      <c r="Z2" s="205"/>
      <c r="AA2" s="205"/>
      <c r="AB2" s="205"/>
      <c r="AC2" s="29"/>
      <c r="AD2" s="25"/>
      <c r="AE2" s="25"/>
      <c r="AF2" s="25"/>
    </row>
    <row r="3" spans="1:32" ht="11.2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8"/>
      <c r="U3" s="44" t="s">
        <v>19</v>
      </c>
      <c r="V3" s="45"/>
      <c r="W3" s="45"/>
      <c r="X3" s="30">
        <v>0</v>
      </c>
      <c r="Y3" s="52"/>
      <c r="Z3" s="52"/>
      <c r="AA3" s="52"/>
      <c r="AB3" s="53"/>
      <c r="AC3" s="29"/>
      <c r="AD3" s="25"/>
      <c r="AE3" s="25"/>
      <c r="AF3" s="25"/>
    </row>
    <row r="4" spans="1:32" ht="11.2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10"/>
      <c r="U4" s="46" t="s">
        <v>20</v>
      </c>
      <c r="V4" s="47"/>
      <c r="W4" s="47"/>
      <c r="X4" s="48"/>
      <c r="Y4" s="49">
        <v>0</v>
      </c>
      <c r="Z4" s="34" t="s">
        <v>21</v>
      </c>
      <c r="AA4" s="35">
        <f>sheetqty</f>
        <v>4</v>
      </c>
      <c r="AB4" s="47"/>
      <c r="AC4" s="24"/>
      <c r="AE4" s="25"/>
      <c r="AF4" s="25"/>
    </row>
    <row r="5" spans="1:32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AC5" s="24"/>
      <c r="AD5" s="25"/>
      <c r="AE5" s="25"/>
      <c r="AF5" s="25"/>
    </row>
    <row r="6" spans="1:32" ht="11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AC6" s="24"/>
      <c r="AE6" s="25"/>
      <c r="AF6" s="25"/>
    </row>
    <row r="7" spans="1:29" ht="11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AC7" s="37"/>
    </row>
    <row r="8" spans="1:29" ht="11.25" customHeight="1">
      <c r="A8" s="9"/>
      <c r="B8" s="9"/>
      <c r="C8" s="38" t="s">
        <v>28</v>
      </c>
      <c r="D8" s="51" t="s">
        <v>27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AC8" s="37"/>
    </row>
    <row r="9" spans="1:29" ht="11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AC9" s="37"/>
    </row>
    <row r="10" spans="1:21" ht="11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9" ht="11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AC12" s="37"/>
    </row>
    <row r="13" spans="1:21" ht="11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1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1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1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1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1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9" ht="11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7"/>
      <c r="W19" s="37"/>
      <c r="X19" s="37"/>
      <c r="Y19" s="37"/>
      <c r="Z19" s="37"/>
      <c r="AA19" s="37"/>
      <c r="AB19" s="37"/>
      <c r="AC19" s="37"/>
    </row>
    <row r="20" spans="1:29" ht="11.2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7"/>
      <c r="W20" s="37"/>
      <c r="X20" s="37"/>
      <c r="Y20" s="37"/>
      <c r="Z20" s="37"/>
      <c r="AA20" s="37"/>
      <c r="AB20" s="37"/>
      <c r="AC20" s="37"/>
    </row>
    <row r="21" spans="1:29" ht="11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7"/>
      <c r="W21" s="37"/>
      <c r="X21" s="37"/>
      <c r="Y21" s="37"/>
      <c r="Z21" s="37"/>
      <c r="AA21" s="37"/>
      <c r="AB21" s="37"/>
      <c r="AC21" s="37"/>
    </row>
    <row r="22" spans="1:29" ht="11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7"/>
      <c r="W22" s="37"/>
      <c r="X22" s="37"/>
      <c r="Y22" s="37"/>
      <c r="Z22" s="37"/>
      <c r="AA22" s="37"/>
      <c r="AB22" s="37"/>
      <c r="AC22" s="37"/>
    </row>
    <row r="23" spans="1:29" ht="11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7"/>
      <c r="W23" s="37"/>
      <c r="X23" s="37"/>
      <c r="Y23" s="37"/>
      <c r="Z23" s="37"/>
      <c r="AA23" s="37"/>
      <c r="AB23" s="37"/>
      <c r="AC23" s="37"/>
    </row>
    <row r="24" spans="1:29" ht="11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7"/>
      <c r="W24" s="37"/>
      <c r="X24" s="37"/>
      <c r="Y24" s="37"/>
      <c r="Z24" s="37"/>
      <c r="AA24" s="37"/>
      <c r="AB24" s="37"/>
      <c r="AC24" s="37"/>
    </row>
    <row r="25" spans="1:29" ht="11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7"/>
      <c r="W25" s="37"/>
      <c r="X25" s="37"/>
      <c r="Y25" s="37"/>
      <c r="Z25" s="37"/>
      <c r="AA25" s="37"/>
      <c r="AB25" s="37"/>
      <c r="AC25" s="37"/>
    </row>
    <row r="26" spans="1:29" ht="11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7"/>
      <c r="W26" s="37"/>
      <c r="X26" s="37"/>
      <c r="Y26" s="37"/>
      <c r="Z26" s="37"/>
      <c r="AA26" s="37"/>
      <c r="AB26" s="37"/>
      <c r="AC26" s="37"/>
    </row>
    <row r="27" spans="1:29" ht="11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7"/>
      <c r="W27" s="37"/>
      <c r="X27" s="37"/>
      <c r="Y27" s="37"/>
      <c r="Z27" s="37"/>
      <c r="AA27" s="37"/>
      <c r="AB27" s="37"/>
      <c r="AC27" s="37"/>
    </row>
    <row r="28" spans="1:29" ht="11.2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7"/>
      <c r="W28" s="37"/>
      <c r="X28" s="37"/>
      <c r="Y28" s="37"/>
      <c r="Z28" s="37"/>
      <c r="AA28" s="37"/>
      <c r="AB28" s="37"/>
      <c r="AC28" s="37"/>
    </row>
    <row r="29" spans="1:29" ht="11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</row>
    <row r="30" spans="1:29" ht="11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</row>
    <row r="31" spans="1:29" ht="11.2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spans="1:29" ht="11.2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29" ht="11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1" ht="11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9" ht="11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AC35" s="37"/>
    </row>
    <row r="36" spans="1:21" ht="11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1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1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1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1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1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9" ht="11.2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7"/>
      <c r="W42" s="37"/>
      <c r="X42" s="37"/>
      <c r="Y42" s="37"/>
      <c r="Z42" s="37"/>
      <c r="AA42" s="37"/>
      <c r="AB42" s="37"/>
      <c r="AC42" s="37"/>
    </row>
    <row r="43" spans="1:29" ht="11.2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7"/>
      <c r="W43" s="37"/>
      <c r="X43" s="37"/>
      <c r="Y43" s="37"/>
      <c r="Z43" s="37"/>
      <c r="AA43" s="37"/>
      <c r="AB43" s="37"/>
      <c r="AC43" s="37"/>
    </row>
    <row r="44" spans="1:29" ht="11.2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7"/>
      <c r="W44" s="37"/>
      <c r="X44" s="37"/>
      <c r="Y44" s="37"/>
      <c r="Z44" s="37"/>
      <c r="AA44" s="37"/>
      <c r="AB44" s="37"/>
      <c r="AC44" s="37"/>
    </row>
    <row r="45" spans="1:21" ht="11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9" ht="11.2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7"/>
      <c r="W46" s="37"/>
      <c r="X46" s="37"/>
      <c r="Y46" s="37"/>
      <c r="Z46" s="37"/>
      <c r="AA46" s="37"/>
      <c r="AB46" s="37"/>
      <c r="AC46" s="37"/>
    </row>
    <row r="47" spans="1:29" ht="11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37"/>
      <c r="X47" s="37"/>
      <c r="Y47" s="37"/>
      <c r="Z47" s="37"/>
      <c r="AA47" s="37"/>
      <c r="AB47" s="37"/>
      <c r="AC47" s="37"/>
    </row>
    <row r="48" spans="1:29" ht="11.2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7"/>
      <c r="W48" s="37"/>
      <c r="X48" s="37"/>
      <c r="Y48" s="37"/>
      <c r="Z48" s="37"/>
      <c r="AA48" s="37"/>
      <c r="AB48" s="37"/>
      <c r="AC48" s="37"/>
    </row>
    <row r="49" spans="1:29" ht="11.2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7"/>
      <c r="W49" s="37"/>
      <c r="X49" s="37"/>
      <c r="Y49" s="37"/>
      <c r="Z49" s="37"/>
      <c r="AA49" s="37"/>
      <c r="AB49" s="37"/>
      <c r="AC49" s="37"/>
    </row>
    <row r="50" spans="1:29" ht="11.2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7"/>
      <c r="W50" s="37"/>
      <c r="X50" s="37"/>
      <c r="Y50" s="37"/>
      <c r="Z50" s="37"/>
      <c r="AA50" s="37"/>
      <c r="AB50" s="37"/>
      <c r="AC50" s="37"/>
    </row>
    <row r="51" spans="1:29" ht="11.2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7"/>
      <c r="X51" s="37"/>
      <c r="Y51" s="37"/>
      <c r="Z51" s="37"/>
      <c r="AA51" s="37"/>
      <c r="AB51" s="37"/>
      <c r="AC51" s="37"/>
    </row>
    <row r="52" spans="1:29" ht="11.2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7"/>
      <c r="W52" s="37"/>
      <c r="X52" s="37"/>
      <c r="Y52" s="37"/>
      <c r="Z52" s="37"/>
      <c r="AA52" s="37"/>
      <c r="AB52" s="37"/>
      <c r="AC52" s="37"/>
    </row>
    <row r="53" spans="1:29" ht="11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7"/>
      <c r="W53" s="37"/>
      <c r="X53" s="37"/>
      <c r="Y53" s="37"/>
      <c r="Z53" s="37"/>
      <c r="AA53" s="37"/>
      <c r="AB53" s="37"/>
      <c r="AC53" s="37"/>
    </row>
    <row r="54" spans="1:29" ht="11.2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7"/>
      <c r="W54" s="37"/>
      <c r="X54" s="37"/>
      <c r="Y54" s="37"/>
      <c r="Z54" s="37"/>
      <c r="AA54" s="37"/>
      <c r="AB54" s="37"/>
      <c r="AC54" s="37"/>
    </row>
    <row r="55" spans="1:29" ht="11.2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</row>
    <row r="56" spans="1:29" ht="11.2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1:29" ht="11.2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1:29" ht="11.2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1:29" ht="11.2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1:29" ht="11.2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1:29" ht="11.2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pans="1:30" ht="11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36"/>
      <c r="AD62" s="9"/>
    </row>
    <row r="63" spans="1:30" ht="11.25" customHeight="1">
      <c r="A63" s="9" t="str">
        <f>cosymbol</f>
        <v> NTES</v>
      </c>
      <c r="AB63" s="41" t="str">
        <f>coname</f>
        <v>Narai Thermal engineering Services </v>
      </c>
      <c r="AC63" s="9"/>
      <c r="AD63" s="9"/>
    </row>
    <row r="64" ht="11.25" customHeight="1"/>
    <row r="111" ht="13.5" customHeight="1"/>
    <row r="112" ht="13.5" customHeight="1"/>
  </sheetData>
  <mergeCells count="3">
    <mergeCell ref="X1:AB1"/>
    <mergeCell ref="X2:AB2"/>
    <mergeCell ref="A2:T4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2016-02-29T07:22:15Z</cp:lastPrinted>
  <dcterms:created xsi:type="dcterms:W3CDTF">2003-02-24T17:06:01Z</dcterms:created>
  <dcterms:modified xsi:type="dcterms:W3CDTF">2016-03-08T13:45:37Z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